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defaultThemeVersion="124226"/>
  <xr:revisionPtr revIDLastSave="0" documentId="13_ncr:1_{500AF9D4-6BF3-4F72-A3D9-03E13383C794}" xr6:coauthVersionLast="40" xr6:coauthVersionMax="40" xr10:uidLastSave="{00000000-0000-0000-0000-000000000000}"/>
  <bookViews>
    <workbookView xWindow="165" yWindow="375" windowWidth="24390" windowHeight="15345" tabRatio="947" firstSheet="5" activeTab="21" xr2:uid="{00000000-000D-0000-FFFF-FFFF00000000}"/>
  </bookViews>
  <sheets>
    <sheet name="apjom" sheetId="22" state="hidden" r:id="rId1"/>
    <sheet name="KOP" sheetId="21" r:id="rId2"/>
    <sheet name="KPDV" sheetId="11" r:id="rId3"/>
    <sheet name="AR1" sheetId="6" r:id="rId4"/>
    <sheet name="AR2" sheetId="36" r:id="rId5"/>
    <sheet name="L1" sheetId="3" r:id="rId6"/>
    <sheet name="L2" sheetId="35" r:id="rId7"/>
    <sheet name="cokol1" sheetId="5" r:id="rId8"/>
    <sheet name="cokol2" sheetId="34" r:id="rId9"/>
    <sheet name="pag1" sheetId="4" r:id="rId10"/>
    <sheet name="pag2" sheetId="33" r:id="rId11"/>
    <sheet name="bēniņi1" sheetId="9" r:id="rId12"/>
    <sheet name="bēniņi2" sheetId="26" r:id="rId13"/>
    <sheet name="jumt1" sheetId="7" r:id="rId14"/>
    <sheet name="jumtseg1" sheetId="30" r:id="rId15"/>
    <sheet name="jumt2" sheetId="27" r:id="rId16"/>
    <sheet name="jumtseg2" sheetId="32" r:id="rId17"/>
    <sheet name="Ieeja1" sheetId="8" r:id="rId18"/>
    <sheet name="Ieeja2" sheetId="25" r:id="rId19"/>
    <sheet name="lodz1" sheetId="29" r:id="rId20"/>
    <sheet name="lodz-2" sheetId="24" r:id="rId21"/>
    <sheet name="AVK" sheetId="20" r:id="rId22"/>
    <sheet name="K1" sheetId="15" r:id="rId23"/>
    <sheet name="U1" sheetId="16" r:id="rId24"/>
    <sheet name="Komun.šahtas" sheetId="37" r:id="rId25"/>
    <sheet name="zibens1" sheetId="38" r:id="rId26"/>
    <sheet name="zibens2" sheetId="39" r:id="rId27"/>
  </sheets>
  <definedNames>
    <definedName name="_xlnm._FilterDatabase" localSheetId="3" hidden="1">'AR1'!$11:$75</definedName>
    <definedName name="_xlnm._FilterDatabase" localSheetId="4" hidden="1">'AR2'!$11:$75</definedName>
    <definedName name="_xlnm._FilterDatabase" localSheetId="11" hidden="1">bēniņi1!$11:$177</definedName>
    <definedName name="_xlnm._FilterDatabase" localSheetId="12" hidden="1">bēniņi2!$11:$168</definedName>
    <definedName name="_xlnm._FilterDatabase" localSheetId="7" hidden="1">cokol1!$A$12:$HB$54</definedName>
    <definedName name="_xlnm._FilterDatabase" localSheetId="8" hidden="1">cokol2!$A$11:$HD$53</definedName>
    <definedName name="_xlnm._FilterDatabase" localSheetId="17" hidden="1">Ieeja1!$12:$71</definedName>
    <definedName name="_xlnm._FilterDatabase" localSheetId="18" hidden="1">Ieeja2!$12:$70</definedName>
    <definedName name="_xlnm._FilterDatabase" localSheetId="13" hidden="1">jumt1!$11:$119</definedName>
    <definedName name="_xlnm._FilterDatabase" localSheetId="15" hidden="1">jumt2!$11:$102</definedName>
    <definedName name="_xlnm._FilterDatabase" localSheetId="14" hidden="1">jumtseg1!$A$13:$U$109</definedName>
    <definedName name="_xlnm._FilterDatabase" localSheetId="16" hidden="1">jumtseg2!$A$13:$U$69</definedName>
    <definedName name="_xlnm._FilterDatabase" localSheetId="5" hidden="1">'L1'!$11:$88</definedName>
    <definedName name="_xlnm._FilterDatabase" localSheetId="6" hidden="1">'L2'!$11:$87</definedName>
    <definedName name="_xlnm._FilterDatabase" localSheetId="19" hidden="1">lodz1!$11:$67</definedName>
    <definedName name="_xlnm._FilterDatabase" localSheetId="20" hidden="1">'lodz-2'!$11:$67</definedName>
    <definedName name="_xlnm._FilterDatabase" localSheetId="9" hidden="1">'pag1'!$A$11:$Q$22</definedName>
    <definedName name="_xlnm._FilterDatabase" localSheetId="10" hidden="1">'pag2'!$A$11:$Q$22</definedName>
    <definedName name="adres">KPDV!$A$6</definedName>
    <definedName name="adrese">KPDV!$A$6</definedName>
    <definedName name="dat">KPDV!$C$47</definedName>
    <definedName name="_xlnm.Print_Area" localSheetId="3">'AR1'!$A$1:$Q$86</definedName>
    <definedName name="_xlnm.Print_Area" localSheetId="4">'AR2'!$A$1:$Q$87</definedName>
    <definedName name="_xlnm.Print_Area" localSheetId="21">AVK!$A$1:$Q$373</definedName>
    <definedName name="_xlnm.Print_Area" localSheetId="11">bēniņi1!$A$1:$Q$84</definedName>
    <definedName name="_xlnm.Print_Area" localSheetId="12">bēniņi2!$A$1:$Q$75</definedName>
    <definedName name="_xlnm.Print_Area" localSheetId="7">cokol1!$A$1:$Q$66</definedName>
    <definedName name="_xlnm.Print_Area" localSheetId="8">cokol2!$A$1:$Q$65</definedName>
    <definedName name="_xlnm.Print_Area" localSheetId="17">Ieeja1!$A$1:$Q$85</definedName>
    <definedName name="_xlnm.Print_Area" localSheetId="18">Ieeja2!$A$1:$Q$81</definedName>
    <definedName name="_xlnm.Print_Area" localSheetId="13">jumt1!$A$1:$Q$131</definedName>
    <definedName name="_xlnm.Print_Area" localSheetId="15">jumt2!$A$1:$Q$115</definedName>
    <definedName name="_xlnm.Print_Area" localSheetId="14">jumtseg1!$A$1:$U$122</definedName>
    <definedName name="_xlnm.Print_Area" localSheetId="16">jumtseg2!$A$1:$U$80</definedName>
    <definedName name="_xlnm.Print_Area" localSheetId="22">'K1'!$A$1:$Q$48</definedName>
    <definedName name="_xlnm.Print_Area" localSheetId="24">Komun.šahtas!$A$1:$P$65</definedName>
    <definedName name="_xlnm.Print_Area" localSheetId="2">KPDV!$A$1:$I$51</definedName>
    <definedName name="_xlnm.Print_Area" localSheetId="5">'L1'!$A$1:$T$99</definedName>
    <definedName name="_xlnm.Print_Area" localSheetId="6">'L2'!$A$1:$T$98</definedName>
    <definedName name="_xlnm.Print_Area" localSheetId="19">lodz1!$A$1:$Q$77</definedName>
    <definedName name="_xlnm.Print_Area" localSheetId="20">'lodz-2'!$A$1:$Q$78</definedName>
    <definedName name="_xlnm.Print_Area" localSheetId="9">'pag1'!$A$1:$Q$34</definedName>
    <definedName name="_xlnm.Print_Area" localSheetId="10">'pag2'!$A$1:$Q$34</definedName>
    <definedName name="_xlnm.Print_Area" localSheetId="23">'U1'!$A$1:$Q$39</definedName>
    <definedName name="_xlnm.Print_Area" localSheetId="25">zibens1!$A$1:$P$55</definedName>
    <definedName name="_xlnm.Print_Area" localSheetId="26">zibens2!$A$1:$P$55</definedName>
    <definedName name="_xlnm.Print_Titles" localSheetId="3">'AR1'!$11:$11</definedName>
    <definedName name="_xlnm.Print_Titles" localSheetId="4">'AR2'!$11:$11</definedName>
    <definedName name="_xlnm.Print_Titles" localSheetId="11">bēniņi1!$11:$11</definedName>
    <definedName name="_xlnm.Print_Titles" localSheetId="12">bēniņi2!$11:$11</definedName>
    <definedName name="_xlnm.Print_Titles" localSheetId="7">cokol1!$12:$12</definedName>
    <definedName name="_xlnm.Print_Titles" localSheetId="8">cokol2!$11:$11</definedName>
    <definedName name="_xlnm.Print_Titles" localSheetId="17">Ieeja1!$11:$11</definedName>
    <definedName name="_xlnm.Print_Titles" localSheetId="18">Ieeja2!$11:$11</definedName>
    <definedName name="_xlnm.Print_Titles" localSheetId="13">jumt1!$11:$11</definedName>
    <definedName name="_xlnm.Print_Titles" localSheetId="15">jumt2!$11:$11</definedName>
    <definedName name="_xlnm.Print_Titles" localSheetId="14">jumtseg1!$11:$11</definedName>
    <definedName name="_xlnm.Print_Titles" localSheetId="16">jumtseg2!$11:$11</definedName>
    <definedName name="_xlnm.Print_Titles" localSheetId="22">'K1'!$12:$12</definedName>
    <definedName name="_xlnm.Print_Titles" localSheetId="5">'L1'!$11:$11</definedName>
    <definedName name="_xlnm.Print_Titles" localSheetId="6">'L2'!$11:$11</definedName>
    <definedName name="_xlnm.Print_Titles" localSheetId="19">lodz1!$11:$11</definedName>
    <definedName name="_xlnm.Print_Titles" localSheetId="20">'lodz-2'!$11:$11</definedName>
    <definedName name="_xlnm.Print_Titles" localSheetId="9">'pag1'!$11:$11</definedName>
    <definedName name="_xlnm.Print_Titles" localSheetId="10">'pag2'!$11:$11</definedName>
    <definedName name="_xlnm.Print_Titles" localSheetId="23">'U1'!#REF!</definedName>
    <definedName name="_xlnm.Print_Titles" localSheetId="25">zibens1!#REF!</definedName>
    <definedName name="_xlnm.Print_Titles" localSheetId="26">zibens2!#REF!</definedName>
    <definedName name="nos">KPDV!$A$4</definedName>
    <definedName name="nr">KPDV!$A$7</definedName>
    <definedName name="obj">KPDV!$A$5</definedName>
    <definedName name="obnos">KPDV!$A$5</definedName>
    <definedName name="pas">KPDV!$C$2</definedName>
    <definedName name="pasut">KPDV!$A$7</definedName>
    <definedName name="sas">KOP!$B$17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5" i="20" l="1"/>
  <c r="C368" i="20"/>
  <c r="B48" i="39"/>
  <c r="B48" i="38"/>
  <c r="B58" i="37"/>
  <c r="B32" i="16"/>
  <c r="B41" i="15"/>
  <c r="B72" i="24"/>
  <c r="B72" i="29"/>
  <c r="B77" i="25"/>
  <c r="B78" i="8"/>
  <c r="B76" i="32"/>
  <c r="B107" i="27"/>
  <c r="B116" i="30"/>
  <c r="B126" i="7"/>
  <c r="B70" i="26"/>
  <c r="B79" i="9"/>
  <c r="B29" i="33"/>
  <c r="B29" i="4"/>
  <c r="B60" i="34"/>
  <c r="B61" i="5"/>
  <c r="B94" i="35"/>
  <c r="B95" i="3"/>
  <c r="B83" i="36"/>
  <c r="B82" i="6"/>
  <c r="A34" i="35" l="1"/>
  <c r="A34" i="3"/>
  <c r="M43" i="39"/>
  <c r="F36" i="11" s="1"/>
  <c r="N43" i="39"/>
  <c r="G36" i="11" s="1"/>
  <c r="O43" i="39"/>
  <c r="H36" i="11" s="1"/>
  <c r="P43" i="39"/>
  <c r="I36" i="11" s="1"/>
  <c r="L43" i="39"/>
  <c r="E36" i="11" s="1"/>
  <c r="M43" i="38"/>
  <c r="F35" i="11" s="1"/>
  <c r="N43" i="38"/>
  <c r="G35" i="11" s="1"/>
  <c r="O43" i="38"/>
  <c r="H35" i="11" s="1"/>
  <c r="P43" i="38"/>
  <c r="I35" i="11" s="1"/>
  <c r="L43" i="38"/>
  <c r="E35" i="11" s="1"/>
  <c r="P7" i="38" l="1"/>
  <c r="P7" i="39"/>
  <c r="C36" i="11"/>
  <c r="C35" i="11"/>
  <c r="B45" i="39"/>
  <c r="B11" i="39"/>
  <c r="C11" i="39" s="1"/>
  <c r="D11" i="39" s="1"/>
  <c r="E11" i="39" s="1"/>
  <c r="F11" i="39" s="1"/>
  <c r="G11" i="39" s="1"/>
  <c r="H11" i="39" s="1"/>
  <c r="I11" i="39" s="1"/>
  <c r="J11" i="39" s="1"/>
  <c r="K11" i="39" s="1"/>
  <c r="L11" i="39" s="1"/>
  <c r="M11" i="39" s="1"/>
  <c r="N11" i="39" s="1"/>
  <c r="O11" i="39" s="1"/>
  <c r="P11" i="39" s="1"/>
  <c r="O8" i="39"/>
  <c r="A6" i="39"/>
  <c r="A5" i="39"/>
  <c r="A4" i="39"/>
  <c r="A3" i="39"/>
  <c r="B45" i="38"/>
  <c r="B11" i="38"/>
  <c r="C11" i="38" s="1"/>
  <c r="D11" i="38" s="1"/>
  <c r="E11" i="38" s="1"/>
  <c r="F11" i="38" s="1"/>
  <c r="G11" i="38" s="1"/>
  <c r="H11" i="38" s="1"/>
  <c r="I11" i="38" s="1"/>
  <c r="J11" i="38" s="1"/>
  <c r="K11" i="38" s="1"/>
  <c r="L11" i="38" s="1"/>
  <c r="M11" i="38" s="1"/>
  <c r="N11" i="38" s="1"/>
  <c r="O11" i="38" s="1"/>
  <c r="P11" i="38" s="1"/>
  <c r="O8" i="38"/>
  <c r="A6" i="38"/>
  <c r="A5" i="38"/>
  <c r="A4" i="38"/>
  <c r="A3" i="38"/>
  <c r="A62" i="35" l="1"/>
  <c r="A63" i="3"/>
  <c r="G78" i="22"/>
  <c r="G79" i="22" s="1"/>
  <c r="G80" i="22" s="1"/>
  <c r="E25" i="34"/>
  <c r="E84" i="22"/>
  <c r="D84" i="22"/>
  <c r="E26" i="5"/>
  <c r="O47" i="22"/>
  <c r="O46" i="22"/>
  <c r="O60" i="22"/>
  <c r="C21" i="22"/>
  <c r="D33" i="3" s="1"/>
  <c r="C19" i="22"/>
  <c r="D31" i="3" s="1"/>
  <c r="C61" i="22"/>
  <c r="D33" i="35" s="1"/>
  <c r="C59" i="22"/>
  <c r="D31" i="35" s="1"/>
  <c r="T7" i="22"/>
  <c r="T9" i="22"/>
  <c r="T11" i="22"/>
  <c r="T13" i="22"/>
  <c r="T14" i="22"/>
  <c r="T15" i="22"/>
  <c r="T5" i="22"/>
  <c r="E361" i="20" l="1"/>
  <c r="E360" i="20"/>
  <c r="E359" i="20"/>
  <c r="E358" i="20"/>
  <c r="E357" i="20"/>
  <c r="E356" i="20"/>
  <c r="E355" i="20"/>
  <c r="E354" i="20"/>
  <c r="E353" i="20"/>
  <c r="E352" i="20"/>
  <c r="E351" i="20"/>
  <c r="E350" i="20"/>
  <c r="E349" i="20"/>
  <c r="E346" i="20"/>
  <c r="E345" i="20"/>
  <c r="E344" i="20"/>
  <c r="E343" i="20"/>
  <c r="E342" i="20"/>
  <c r="E341" i="20"/>
  <c r="E340" i="20"/>
  <c r="E339" i="20"/>
  <c r="E338" i="20"/>
  <c r="E337" i="20"/>
  <c r="E336" i="20"/>
  <c r="E335" i="20"/>
  <c r="E334" i="20"/>
  <c r="E331" i="20"/>
  <c r="E330" i="20"/>
  <c r="E329" i="20"/>
  <c r="E328" i="20"/>
  <c r="E327" i="20"/>
  <c r="E326" i="20"/>
  <c r="E325" i="20"/>
  <c r="E324" i="20"/>
  <c r="E323" i="20"/>
  <c r="E322" i="20"/>
  <c r="E321" i="20"/>
  <c r="E320" i="20"/>
  <c r="E319" i="20"/>
  <c r="E316" i="20"/>
  <c r="E315" i="20"/>
  <c r="E314" i="20"/>
  <c r="E313" i="20"/>
  <c r="E312" i="20"/>
  <c r="E311" i="20"/>
  <c r="E310" i="20"/>
  <c r="E309" i="20"/>
  <c r="E308" i="20"/>
  <c r="E307" i="20"/>
  <c r="E306" i="20"/>
  <c r="E303" i="20"/>
  <c r="E302" i="20"/>
  <c r="E301" i="20"/>
  <c r="E300" i="20"/>
  <c r="E299" i="20"/>
  <c r="E298" i="20"/>
  <c r="E297" i="20"/>
  <c r="E296" i="20"/>
  <c r="E295" i="20"/>
  <c r="E294" i="20"/>
  <c r="E293" i="20"/>
  <c r="E292" i="20"/>
  <c r="E291" i="20"/>
  <c r="E288" i="20"/>
  <c r="E287" i="20"/>
  <c r="E286" i="20"/>
  <c r="E285" i="20"/>
  <c r="E284" i="20"/>
  <c r="E283" i="20"/>
  <c r="E282" i="20"/>
  <c r="E281" i="20"/>
  <c r="E280" i="20"/>
  <c r="E279" i="20"/>
  <c r="E278" i="20"/>
  <c r="E277" i="20"/>
  <c r="E276" i="20"/>
  <c r="E273" i="20"/>
  <c r="E272" i="20"/>
  <c r="E271" i="20"/>
  <c r="E270" i="20"/>
  <c r="E269" i="20"/>
  <c r="E268" i="20"/>
  <c r="E267" i="20"/>
  <c r="E266" i="20"/>
  <c r="E265" i="20"/>
  <c r="E264" i="20"/>
  <c r="E263" i="20"/>
  <c r="E262" i="20"/>
  <c r="E261" i="20"/>
  <c r="E258" i="20"/>
  <c r="E257" i="20"/>
  <c r="E256" i="20"/>
  <c r="E255" i="20"/>
  <c r="E254" i="20"/>
  <c r="E253" i="20"/>
  <c r="E252" i="20"/>
  <c r="E251" i="20"/>
  <c r="E250" i="20"/>
  <c r="E249" i="20"/>
  <c r="E248" i="20"/>
  <c r="E245" i="20"/>
  <c r="E244" i="20"/>
  <c r="E243" i="20"/>
  <c r="E242" i="20"/>
  <c r="E241" i="20"/>
  <c r="E240" i="20"/>
  <c r="E239" i="20"/>
  <c r="E238" i="20"/>
  <c r="E237" i="20"/>
  <c r="E236" i="20"/>
  <c r="E235" i="20"/>
  <c r="E234" i="20"/>
  <c r="E233" i="20"/>
  <c r="E230" i="20"/>
  <c r="E229" i="20"/>
  <c r="E228" i="20"/>
  <c r="E227" i="20"/>
  <c r="E226" i="20"/>
  <c r="E225" i="20"/>
  <c r="E224" i="20"/>
  <c r="E223" i="20"/>
  <c r="E222" i="20"/>
  <c r="E221" i="20"/>
  <c r="E220" i="20"/>
  <c r="E219" i="20"/>
  <c r="E218" i="20"/>
  <c r="E215" i="20"/>
  <c r="E214" i="20"/>
  <c r="E213" i="20"/>
  <c r="E212" i="20"/>
  <c r="E211" i="20"/>
  <c r="E210" i="20"/>
  <c r="E209" i="20"/>
  <c r="E208" i="20"/>
  <c r="E207" i="20"/>
  <c r="E206" i="20"/>
  <c r="E205" i="20"/>
  <c r="E204" i="20"/>
  <c r="E203" i="20"/>
  <c r="E200" i="20"/>
  <c r="E199" i="20"/>
  <c r="E198" i="20"/>
  <c r="E197" i="20"/>
  <c r="E196" i="20"/>
  <c r="E195" i="20"/>
  <c r="E194" i="20"/>
  <c r="E193" i="20"/>
  <c r="E192" i="20"/>
  <c r="E191" i="20"/>
  <c r="E190" i="20"/>
  <c r="E189" i="20"/>
  <c r="E188" i="20"/>
  <c r="E185" i="20"/>
  <c r="E184" i="20"/>
  <c r="E183" i="20"/>
  <c r="E182" i="20"/>
  <c r="E181" i="20"/>
  <c r="E180" i="20"/>
  <c r="E179" i="20"/>
  <c r="E178" i="20"/>
  <c r="E177" i="20"/>
  <c r="E176" i="20"/>
  <c r="E175" i="20"/>
  <c r="E174" i="20"/>
  <c r="E173" i="20"/>
  <c r="E170" i="20"/>
  <c r="E169" i="20"/>
  <c r="E168" i="20"/>
  <c r="E167" i="20"/>
  <c r="E166" i="20"/>
  <c r="E165" i="20"/>
  <c r="E164" i="20"/>
  <c r="E163" i="20"/>
  <c r="E162" i="20"/>
  <c r="E161" i="20"/>
  <c r="E160" i="20"/>
  <c r="E159" i="20"/>
  <c r="E158" i="20"/>
  <c r="E155" i="20"/>
  <c r="E154" i="20"/>
  <c r="E153" i="20"/>
  <c r="E152" i="20"/>
  <c r="E151" i="20"/>
  <c r="E150" i="20"/>
  <c r="E149" i="20"/>
  <c r="E148" i="20"/>
  <c r="E147" i="20"/>
  <c r="E146" i="20"/>
  <c r="E145" i="20"/>
  <c r="E144" i="20"/>
  <c r="E143" i="20"/>
  <c r="E121" i="20"/>
  <c r="E120" i="20"/>
  <c r="E119" i="20"/>
  <c r="E118" i="20"/>
  <c r="E117" i="20"/>
  <c r="E116" i="20"/>
  <c r="E115" i="20"/>
  <c r="E114" i="20"/>
  <c r="E113" i="20"/>
  <c r="E112" i="20"/>
  <c r="E105" i="20"/>
  <c r="E104" i="20"/>
  <c r="E103" i="20"/>
  <c r="E102" i="20"/>
  <c r="E101" i="20"/>
  <c r="E100" i="20"/>
  <c r="E99" i="20"/>
  <c r="E53" i="20"/>
  <c r="E52" i="20"/>
  <c r="E51" i="20"/>
  <c r="E50" i="20"/>
  <c r="E49" i="20"/>
  <c r="E48" i="20"/>
  <c r="D28" i="3" l="1"/>
  <c r="D26" i="35"/>
  <c r="C26" i="35"/>
  <c r="H14" i="22"/>
  <c r="E25" i="22"/>
  <c r="C25" i="22" s="1"/>
  <c r="C17" i="35"/>
  <c r="E14" i="34" l="1"/>
  <c r="E16" i="36"/>
  <c r="E17" i="36" s="1"/>
  <c r="E16" i="6" l="1"/>
  <c r="E37" i="37" l="1"/>
  <c r="E35" i="37"/>
  <c r="E33" i="37"/>
  <c r="E32" i="37" s="1"/>
  <c r="E18" i="37"/>
  <c r="E20" i="37" s="1"/>
  <c r="E16" i="37"/>
  <c r="E14" i="37"/>
  <c r="E13" i="37" s="1"/>
  <c r="B55" i="37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13" i="8"/>
  <c r="A14" i="8"/>
  <c r="A15" i="8"/>
  <c r="A16" i="8"/>
  <c r="A17" i="8"/>
  <c r="A12" i="8"/>
  <c r="E29" i="25"/>
  <c r="E29" i="8"/>
  <c r="E27" i="25"/>
  <c r="E27" i="8"/>
  <c r="E26" i="8"/>
  <c r="A25" i="32"/>
  <c r="A52" i="30"/>
  <c r="D45" i="35"/>
  <c r="D46" i="35"/>
  <c r="D47" i="35"/>
  <c r="D48" i="35"/>
  <c r="D44" i="35"/>
  <c r="O5" i="22"/>
  <c r="D45" i="3"/>
  <c r="D46" i="3"/>
  <c r="D47" i="3"/>
  <c r="D48" i="3"/>
  <c r="D49" i="3"/>
  <c r="D44" i="3"/>
  <c r="D32" i="35"/>
  <c r="D30" i="35"/>
  <c r="D18" i="35"/>
  <c r="D19" i="35"/>
  <c r="D20" i="35"/>
  <c r="D21" i="35"/>
  <c r="D22" i="35"/>
  <c r="D23" i="35"/>
  <c r="D24" i="35"/>
  <c r="D25" i="35"/>
  <c r="D27" i="35"/>
  <c r="D28" i="35"/>
  <c r="D17" i="35"/>
  <c r="C65" i="3"/>
  <c r="F61" i="22"/>
  <c r="G59" i="22"/>
  <c r="F59" i="22"/>
  <c r="F21" i="22"/>
  <c r="G19" i="22"/>
  <c r="F19" i="22"/>
  <c r="E31" i="3" s="1"/>
  <c r="E37" i="24"/>
  <c r="B29" i="16"/>
  <c r="B38" i="15"/>
  <c r="B69" i="29"/>
  <c r="B69" i="24"/>
  <c r="B74" i="25"/>
  <c r="B75" i="8"/>
  <c r="B73" i="32"/>
  <c r="B104" i="27"/>
  <c r="B113" i="30"/>
  <c r="B123" i="7"/>
  <c r="B67" i="26"/>
  <c r="B76" i="9"/>
  <c r="B26" i="33"/>
  <c r="B26" i="4"/>
  <c r="B57" i="34"/>
  <c r="B58" i="5"/>
  <c r="B91" i="35"/>
  <c r="B92" i="3"/>
  <c r="B80" i="36"/>
  <c r="B79" i="6"/>
  <c r="C44" i="11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17" i="32"/>
  <c r="A18" i="32"/>
  <c r="A19" i="32"/>
  <c r="A20" i="32"/>
  <c r="A21" i="32"/>
  <c r="A22" i="32"/>
  <c r="A23" i="32"/>
  <c r="A24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16" i="32"/>
  <c r="A15" i="32"/>
  <c r="A14" i="32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5" i="27"/>
  <c r="A46" i="27"/>
  <c r="A47" i="27"/>
  <c r="A48" i="27"/>
  <c r="A49" i="27"/>
  <c r="A50" i="27"/>
  <c r="A51" i="27"/>
  <c r="A52" i="27"/>
  <c r="A53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80" i="27"/>
  <c r="A81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21" i="27"/>
  <c r="A20" i="27"/>
  <c r="A19" i="27"/>
  <c r="A18" i="27"/>
  <c r="A17" i="27"/>
  <c r="A16" i="27"/>
  <c r="A15" i="27"/>
  <c r="A14" i="27"/>
  <c r="A13" i="27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4" i="30"/>
  <c r="A105" i="30"/>
  <c r="A106" i="30"/>
  <c r="A107" i="30"/>
  <c r="A108" i="30"/>
  <c r="A109" i="30"/>
  <c r="A22" i="30"/>
  <c r="A21" i="30"/>
  <c r="A20" i="30"/>
  <c r="A19" i="30"/>
  <c r="A18" i="30"/>
  <c r="A17" i="30"/>
  <c r="A16" i="30"/>
  <c r="A15" i="30"/>
  <c r="A14" i="30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61" i="7"/>
  <c r="A62" i="7"/>
  <c r="A63" i="7"/>
  <c r="A64" i="7"/>
  <c r="A65" i="7"/>
  <c r="A66" i="7"/>
  <c r="A67" i="7"/>
  <c r="A68" i="7"/>
  <c r="A69" i="7"/>
  <c r="A71" i="7"/>
  <c r="A72" i="7"/>
  <c r="A73" i="7"/>
  <c r="A74" i="7"/>
  <c r="A75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9" i="7"/>
  <c r="A100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7" i="7"/>
  <c r="A18" i="7"/>
  <c r="A19" i="7"/>
  <c r="A20" i="7"/>
  <c r="A21" i="7"/>
  <c r="A22" i="7"/>
  <c r="A23" i="7"/>
  <c r="A24" i="7"/>
  <c r="A25" i="7"/>
  <c r="A26" i="7"/>
  <c r="A16" i="7"/>
  <c r="A15" i="7"/>
  <c r="A14" i="7"/>
  <c r="A13" i="7"/>
  <c r="A12" i="7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13" i="9"/>
  <c r="A14" i="9"/>
  <c r="A12" i="9"/>
  <c r="A12" i="33"/>
  <c r="C27" i="36"/>
  <c r="P4" i="22"/>
  <c r="O4" i="22"/>
  <c r="E56" i="24"/>
  <c r="E54" i="24"/>
  <c r="E50" i="24"/>
  <c r="E45" i="24"/>
  <c r="E43" i="24"/>
  <c r="E24" i="24"/>
  <c r="E25" i="24"/>
  <c r="E51" i="24"/>
  <c r="I43" i="32"/>
  <c r="I42" i="32"/>
  <c r="I41" i="32"/>
  <c r="I36" i="32"/>
  <c r="I38" i="32" s="1"/>
  <c r="I35" i="32"/>
  <c r="I37" i="32" s="1"/>
  <c r="I59" i="30"/>
  <c r="I69" i="30"/>
  <c r="I70" i="30"/>
  <c r="I63" i="30"/>
  <c r="I65" i="30" s="1"/>
  <c r="I62" i="30"/>
  <c r="I64" i="30" s="1"/>
  <c r="I68" i="30"/>
  <c r="B11" i="37"/>
  <c r="C11" i="37" s="1"/>
  <c r="D11" i="37" s="1"/>
  <c r="E11" i="37" s="1"/>
  <c r="F11" i="37" s="1"/>
  <c r="G11" i="37" s="1"/>
  <c r="H11" i="37" s="1"/>
  <c r="I11" i="37" s="1"/>
  <c r="J11" i="37" s="1"/>
  <c r="K11" i="37" s="1"/>
  <c r="L11" i="37" s="1"/>
  <c r="M11" i="37" s="1"/>
  <c r="N11" i="37" s="1"/>
  <c r="O11" i="37" s="1"/>
  <c r="P11" i="37" s="1"/>
  <c r="C34" i="11"/>
  <c r="I60" i="30"/>
  <c r="I33" i="32"/>
  <c r="E48" i="34"/>
  <c r="E49" i="34" s="1"/>
  <c r="A53" i="34"/>
  <c r="A52" i="34"/>
  <c r="A51" i="34"/>
  <c r="E50" i="34"/>
  <c r="A49" i="34"/>
  <c r="A48" i="34"/>
  <c r="A47" i="34"/>
  <c r="A46" i="34"/>
  <c r="E51" i="5"/>
  <c r="A46" i="5"/>
  <c r="A47" i="5"/>
  <c r="A48" i="5"/>
  <c r="A49" i="5"/>
  <c r="A50" i="5"/>
  <c r="A52" i="5"/>
  <c r="A53" i="5"/>
  <c r="A54" i="5"/>
  <c r="E49" i="5"/>
  <c r="E50" i="5" s="1"/>
  <c r="E35" i="36"/>
  <c r="E36" i="36" s="1"/>
  <c r="E12" i="36"/>
  <c r="E15" i="36" s="1"/>
  <c r="E91" i="22"/>
  <c r="E56" i="36" s="1"/>
  <c r="E58" i="36" s="1"/>
  <c r="D91" i="22"/>
  <c r="E56" i="6" s="1"/>
  <c r="E58" i="6" s="1"/>
  <c r="E93" i="22"/>
  <c r="E33" i="36" s="1"/>
  <c r="E34" i="36" s="1"/>
  <c r="E92" i="22"/>
  <c r="E31" i="36" s="1"/>
  <c r="D92" i="22"/>
  <c r="E31" i="6" s="1"/>
  <c r="E32" i="6" s="1"/>
  <c r="E88" i="22"/>
  <c r="E29" i="36" s="1"/>
  <c r="E87" i="22"/>
  <c r="E27" i="36" s="1"/>
  <c r="I26" i="32"/>
  <c r="I28" i="32" s="1"/>
  <c r="I29" i="32" s="1"/>
  <c r="J27" i="32"/>
  <c r="I53" i="30"/>
  <c r="I55" i="30" s="1"/>
  <c r="I58" i="30" s="1"/>
  <c r="J54" i="30"/>
  <c r="E12" i="34"/>
  <c r="E15" i="34"/>
  <c r="E16" i="34" s="1"/>
  <c r="E16" i="5"/>
  <c r="L5" i="22"/>
  <c r="N5" i="22" s="1"/>
  <c r="D65" i="35"/>
  <c r="E65" i="35"/>
  <c r="D66" i="35"/>
  <c r="E66" i="35"/>
  <c r="D67" i="35"/>
  <c r="E67" i="35"/>
  <c r="E64" i="35"/>
  <c r="F64" i="35"/>
  <c r="D64" i="35"/>
  <c r="E60" i="35"/>
  <c r="F60" i="35"/>
  <c r="E61" i="35"/>
  <c r="F61" i="35"/>
  <c r="E56" i="35"/>
  <c r="F48" i="35"/>
  <c r="E48" i="35"/>
  <c r="C48" i="35"/>
  <c r="F47" i="35"/>
  <c r="E47" i="35"/>
  <c r="C47" i="35"/>
  <c r="F46" i="35"/>
  <c r="E46" i="35"/>
  <c r="C46" i="35"/>
  <c r="F45" i="35"/>
  <c r="E45" i="35"/>
  <c r="C45" i="35"/>
  <c r="E44" i="35"/>
  <c r="F44" i="35"/>
  <c r="C44" i="35"/>
  <c r="C32" i="3"/>
  <c r="C32" i="35"/>
  <c r="E32" i="35"/>
  <c r="E30" i="35"/>
  <c r="F30" i="35"/>
  <c r="E18" i="35"/>
  <c r="F18" i="35"/>
  <c r="E19" i="35"/>
  <c r="F19" i="35"/>
  <c r="E20" i="35"/>
  <c r="F20" i="35"/>
  <c r="E21" i="35"/>
  <c r="F21" i="35"/>
  <c r="E22" i="35"/>
  <c r="F22" i="35"/>
  <c r="E23" i="35"/>
  <c r="F23" i="35"/>
  <c r="E24" i="35"/>
  <c r="F24" i="35"/>
  <c r="E25" i="35"/>
  <c r="F25" i="35"/>
  <c r="E26" i="35"/>
  <c r="F26" i="35"/>
  <c r="E27" i="35"/>
  <c r="F27" i="35"/>
  <c r="E28" i="35"/>
  <c r="F28" i="35"/>
  <c r="E17" i="35"/>
  <c r="F17" i="35"/>
  <c r="E81" i="22"/>
  <c r="H85" i="35" s="1"/>
  <c r="C20" i="11"/>
  <c r="C18" i="11"/>
  <c r="C16" i="11"/>
  <c r="C14" i="11"/>
  <c r="E75" i="36"/>
  <c r="A75" i="36"/>
  <c r="C71" i="36"/>
  <c r="C70" i="36"/>
  <c r="C69" i="36"/>
  <c r="C68" i="36"/>
  <c r="C67" i="36"/>
  <c r="A64" i="36"/>
  <c r="A63" i="36"/>
  <c r="A61" i="36"/>
  <c r="A60" i="36"/>
  <c r="A58" i="36"/>
  <c r="A57" i="36"/>
  <c r="A55" i="36"/>
  <c r="A54" i="36"/>
  <c r="A53" i="36"/>
  <c r="A52" i="36"/>
  <c r="A51" i="36"/>
  <c r="A50" i="36"/>
  <c r="A49" i="36"/>
  <c r="A48" i="36"/>
  <c r="A47" i="36"/>
  <c r="A45" i="36"/>
  <c r="A44" i="36"/>
  <c r="A43" i="36"/>
  <c r="A42" i="36"/>
  <c r="A41" i="36"/>
  <c r="A40" i="36"/>
  <c r="A38" i="36"/>
  <c r="A37" i="36"/>
  <c r="A36" i="36"/>
  <c r="D35" i="36"/>
  <c r="C35" i="36"/>
  <c r="B35" i="36"/>
  <c r="A34" i="36"/>
  <c r="D33" i="36"/>
  <c r="C33" i="36"/>
  <c r="B33" i="36"/>
  <c r="A32" i="36"/>
  <c r="D31" i="36"/>
  <c r="C31" i="36"/>
  <c r="B31" i="36"/>
  <c r="A30" i="36"/>
  <c r="D29" i="36"/>
  <c r="C29" i="36"/>
  <c r="B29" i="36"/>
  <c r="A28" i="36"/>
  <c r="D27" i="36"/>
  <c r="B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F14" i="36"/>
  <c r="A14" i="36"/>
  <c r="A13" i="36"/>
  <c r="A12" i="36"/>
  <c r="B11" i="36"/>
  <c r="C11" i="36" s="1"/>
  <c r="D11" i="36" s="1"/>
  <c r="E11" i="36" s="1"/>
  <c r="G11" i="36" s="1"/>
  <c r="H11" i="36" s="1"/>
  <c r="I11" i="36" s="1"/>
  <c r="J11" i="36" s="1"/>
  <c r="K11" i="36" s="1"/>
  <c r="L11" i="36" s="1"/>
  <c r="M11" i="36" s="1"/>
  <c r="N11" i="36" s="1"/>
  <c r="O11" i="36" s="1"/>
  <c r="P11" i="36" s="1"/>
  <c r="Q11" i="36" s="1"/>
  <c r="P8" i="36"/>
  <c r="A6" i="36"/>
  <c r="A5" i="36"/>
  <c r="A4" i="36"/>
  <c r="A3" i="36"/>
  <c r="A87" i="35"/>
  <c r="A86" i="35"/>
  <c r="A85" i="35"/>
  <c r="A84" i="35"/>
  <c r="A83" i="35"/>
  <c r="A82" i="35"/>
  <c r="A81" i="35"/>
  <c r="A80" i="35"/>
  <c r="A79" i="35"/>
  <c r="A78" i="35"/>
  <c r="A77" i="35"/>
  <c r="A76" i="35"/>
  <c r="A75" i="35"/>
  <c r="A74" i="35"/>
  <c r="A73" i="35"/>
  <c r="A72" i="35"/>
  <c r="A71" i="35"/>
  <c r="A70" i="35"/>
  <c r="A69" i="35"/>
  <c r="A68" i="35"/>
  <c r="C67" i="35"/>
  <c r="A67" i="35"/>
  <c r="C66" i="35"/>
  <c r="A66" i="35"/>
  <c r="C65" i="35"/>
  <c r="A65" i="35"/>
  <c r="C64" i="35"/>
  <c r="A64" i="35"/>
  <c r="C61" i="35"/>
  <c r="A61" i="35"/>
  <c r="C60" i="35"/>
  <c r="A60" i="35"/>
  <c r="C59" i="35"/>
  <c r="A59" i="35"/>
  <c r="C58" i="35"/>
  <c r="A58" i="35"/>
  <c r="C57" i="35"/>
  <c r="A57" i="35"/>
  <c r="C56" i="35"/>
  <c r="A56" i="35"/>
  <c r="A55" i="35"/>
  <c r="A54" i="35"/>
  <c r="A53" i="35"/>
  <c r="A52" i="35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C33" i="35"/>
  <c r="A33" i="35"/>
  <c r="A32" i="35"/>
  <c r="C31" i="35"/>
  <c r="A31" i="35"/>
  <c r="C30" i="35"/>
  <c r="A30" i="35"/>
  <c r="C29" i="35"/>
  <c r="A29" i="35"/>
  <c r="C28" i="35"/>
  <c r="A28" i="35"/>
  <c r="C27" i="35"/>
  <c r="A27" i="35"/>
  <c r="A26" i="35"/>
  <c r="C25" i="35"/>
  <c r="A25" i="35"/>
  <c r="C24" i="35"/>
  <c r="A24" i="35"/>
  <c r="C23" i="35"/>
  <c r="A23" i="35"/>
  <c r="C22" i="35"/>
  <c r="A22" i="35"/>
  <c r="C21" i="35"/>
  <c r="A21" i="35"/>
  <c r="C20" i="35"/>
  <c r="A20" i="35"/>
  <c r="C19" i="35"/>
  <c r="A19" i="35"/>
  <c r="C18" i="35"/>
  <c r="A18" i="35"/>
  <c r="G17" i="35"/>
  <c r="G18" i="35" s="1"/>
  <c r="G19" i="35" s="1"/>
  <c r="G20" i="35" s="1"/>
  <c r="G21" i="35" s="1"/>
  <c r="G22" i="35" s="1"/>
  <c r="G23" i="35" s="1"/>
  <c r="G24" i="35" s="1"/>
  <c r="G25" i="35" s="1"/>
  <c r="G26" i="35" s="1"/>
  <c r="G27" i="35" s="1"/>
  <c r="G28" i="35" s="1"/>
  <c r="G30" i="35" s="1"/>
  <c r="G31" i="35" s="1"/>
  <c r="G32" i="35" s="1"/>
  <c r="G33" i="35" s="1"/>
  <c r="A17" i="35"/>
  <c r="F15" i="35"/>
  <c r="E15" i="35"/>
  <c r="A15" i="35"/>
  <c r="A14" i="35"/>
  <c r="A13" i="35"/>
  <c r="A12" i="35"/>
  <c r="B11" i="35"/>
  <c r="C11" i="35" s="1"/>
  <c r="G11" i="35" s="1"/>
  <c r="H11" i="35" s="1"/>
  <c r="J11" i="35" s="1"/>
  <c r="K11" i="35" s="1"/>
  <c r="L11" i="35" s="1"/>
  <c r="M11" i="35" s="1"/>
  <c r="N11" i="35" s="1"/>
  <c r="O11" i="35" s="1"/>
  <c r="P11" i="35" s="1"/>
  <c r="Q11" i="35" s="1"/>
  <c r="R11" i="35" s="1"/>
  <c r="S11" i="35" s="1"/>
  <c r="T11" i="35" s="1"/>
  <c r="S8" i="35"/>
  <c r="A6" i="35"/>
  <c r="A5" i="35"/>
  <c r="A4" i="35"/>
  <c r="A3" i="35"/>
  <c r="A45" i="34"/>
  <c r="E44" i="34"/>
  <c r="E45" i="34" s="1"/>
  <c r="A44" i="34"/>
  <c r="A43" i="34"/>
  <c r="A42" i="34"/>
  <c r="A41" i="34"/>
  <c r="A40" i="34"/>
  <c r="A39" i="34"/>
  <c r="A38" i="34"/>
  <c r="A37" i="34"/>
  <c r="A36" i="34"/>
  <c r="A35" i="34"/>
  <c r="E34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C19" i="34"/>
  <c r="A19" i="34"/>
  <c r="A18" i="34"/>
  <c r="A17" i="34"/>
  <c r="A16" i="34"/>
  <c r="A15" i="34"/>
  <c r="E24" i="34"/>
  <c r="A14" i="34"/>
  <c r="E13" i="34"/>
  <c r="A13" i="34"/>
  <c r="A12" i="34"/>
  <c r="D11" i="34"/>
  <c r="E11" i="34" s="1"/>
  <c r="G11" i="34" s="1"/>
  <c r="H11" i="34" s="1"/>
  <c r="I11" i="34" s="1"/>
  <c r="J11" i="34" s="1"/>
  <c r="K11" i="34" s="1"/>
  <c r="L11" i="34" s="1"/>
  <c r="M11" i="34" s="1"/>
  <c r="N11" i="34" s="1"/>
  <c r="O11" i="34" s="1"/>
  <c r="P11" i="34" s="1"/>
  <c r="Q11" i="34" s="1"/>
  <c r="B11" i="34"/>
  <c r="P8" i="34"/>
  <c r="A6" i="34"/>
  <c r="A5" i="34"/>
  <c r="A4" i="34"/>
  <c r="A3" i="34"/>
  <c r="E14" i="33"/>
  <c r="E13" i="33"/>
  <c r="E94" i="22"/>
  <c r="E15" i="33" s="1"/>
  <c r="E17" i="33" s="1"/>
  <c r="E18" i="33" s="1"/>
  <c r="Q80" i="22"/>
  <c r="Q79" i="22"/>
  <c r="Q78" i="22"/>
  <c r="F65" i="35"/>
  <c r="Q77" i="22"/>
  <c r="H77" i="22"/>
  <c r="J77" i="22" s="1"/>
  <c r="H64" i="35" s="1"/>
  <c r="T75" i="22"/>
  <c r="P75" i="22"/>
  <c r="O75" i="22"/>
  <c r="L74" i="22"/>
  <c r="N74" i="22" s="1"/>
  <c r="H74" i="22"/>
  <c r="J74" i="22" s="1"/>
  <c r="E74" i="22"/>
  <c r="S74" i="22" s="1"/>
  <c r="L73" i="22"/>
  <c r="N73" i="22" s="1"/>
  <c r="H73" i="22"/>
  <c r="J73" i="22" s="1"/>
  <c r="E73" i="22"/>
  <c r="D60" i="35" s="1"/>
  <c r="E72" i="22"/>
  <c r="C72" i="22" s="1"/>
  <c r="E71" i="22"/>
  <c r="F70" i="22"/>
  <c r="E70" i="22"/>
  <c r="D57" i="35" s="1"/>
  <c r="G69" i="22"/>
  <c r="H69" i="22" s="1"/>
  <c r="E69" i="22"/>
  <c r="L67" i="22"/>
  <c r="N67" i="22" s="1"/>
  <c r="H67" i="22"/>
  <c r="J67" i="22" s="1"/>
  <c r="E67" i="22"/>
  <c r="K67" i="22" s="1"/>
  <c r="M67" i="22" s="1"/>
  <c r="L66" i="22"/>
  <c r="N66" i="22" s="1"/>
  <c r="H66" i="22"/>
  <c r="E66" i="22"/>
  <c r="S65" i="22"/>
  <c r="Q65" i="22"/>
  <c r="L65" i="22"/>
  <c r="N65" i="22" s="1"/>
  <c r="K65" i="22"/>
  <c r="H65" i="22"/>
  <c r="C65" i="22"/>
  <c r="I65" i="22" s="1"/>
  <c r="S64" i="22"/>
  <c r="Q64" i="22"/>
  <c r="R64" i="22" s="1"/>
  <c r="L64" i="22"/>
  <c r="N64" i="22" s="1"/>
  <c r="K64" i="22"/>
  <c r="M64" i="22" s="1"/>
  <c r="H64" i="22"/>
  <c r="J64" i="22" s="1"/>
  <c r="C64" i="22"/>
  <c r="H63" i="22"/>
  <c r="E63" i="22"/>
  <c r="Q63" i="22" s="1"/>
  <c r="R63" i="22" s="1"/>
  <c r="E60" i="22"/>
  <c r="S59" i="22"/>
  <c r="T59" i="22" s="1"/>
  <c r="O58" i="22"/>
  <c r="L58" i="22"/>
  <c r="N58" i="22" s="1"/>
  <c r="H58" i="22"/>
  <c r="I58" i="22" s="1"/>
  <c r="E58" i="22"/>
  <c r="O56" i="22"/>
  <c r="L56" i="22"/>
  <c r="N56" i="22" s="1"/>
  <c r="H56" i="22"/>
  <c r="J56" i="22" s="1"/>
  <c r="C56" i="22"/>
  <c r="S55" i="22"/>
  <c r="T55" i="22" s="1"/>
  <c r="Q55" i="22"/>
  <c r="R55" i="22" s="1"/>
  <c r="P55" i="22"/>
  <c r="O55" i="22"/>
  <c r="L55" i="22"/>
  <c r="N55" i="22" s="1"/>
  <c r="K55" i="22"/>
  <c r="M55" i="22" s="1"/>
  <c r="H55" i="22"/>
  <c r="J55" i="22" s="1"/>
  <c r="C55" i="22"/>
  <c r="O54" i="22"/>
  <c r="L54" i="22"/>
  <c r="N54" i="22" s="1"/>
  <c r="H54" i="22"/>
  <c r="J54" i="22" s="1"/>
  <c r="E54" i="22"/>
  <c r="S53" i="22"/>
  <c r="T53" i="22" s="1"/>
  <c r="Q53" i="22"/>
  <c r="R53" i="22" s="1"/>
  <c r="P53" i="22"/>
  <c r="O53" i="22"/>
  <c r="L53" i="22"/>
  <c r="N53" i="22" s="1"/>
  <c r="K53" i="22"/>
  <c r="M53" i="22" s="1"/>
  <c r="H53" i="22"/>
  <c r="C53" i="22"/>
  <c r="O52" i="22"/>
  <c r="L52" i="22"/>
  <c r="N52" i="22" s="1"/>
  <c r="H52" i="22"/>
  <c r="J52" i="22" s="1"/>
  <c r="E52" i="22"/>
  <c r="P52" i="22" s="1"/>
  <c r="S51" i="22"/>
  <c r="T51" i="22" s="1"/>
  <c r="Q51" i="22"/>
  <c r="R51" i="22" s="1"/>
  <c r="P51" i="22"/>
  <c r="O51" i="22"/>
  <c r="L51" i="22"/>
  <c r="N51" i="22" s="1"/>
  <c r="K51" i="22"/>
  <c r="M51" i="22" s="1"/>
  <c r="H51" i="22"/>
  <c r="J51" i="22" s="1"/>
  <c r="C51" i="22"/>
  <c r="O50" i="22"/>
  <c r="L50" i="22"/>
  <c r="N50" i="22" s="1"/>
  <c r="H50" i="22"/>
  <c r="J50" i="22" s="1"/>
  <c r="E50" i="22"/>
  <c r="S49" i="22"/>
  <c r="T49" i="22" s="1"/>
  <c r="Q49" i="22"/>
  <c r="R49" i="22" s="1"/>
  <c r="P49" i="22"/>
  <c r="O49" i="22"/>
  <c r="L49" i="22"/>
  <c r="N49" i="22" s="1"/>
  <c r="K49" i="22"/>
  <c r="M49" i="22" s="1"/>
  <c r="H49" i="22"/>
  <c r="J49" i="22" s="1"/>
  <c r="C49" i="22"/>
  <c r="O48" i="22"/>
  <c r="L48" i="22"/>
  <c r="N48" i="22" s="1"/>
  <c r="H48" i="22"/>
  <c r="J48" i="22" s="1"/>
  <c r="E48" i="22"/>
  <c r="S48" i="22" s="1"/>
  <c r="T48" i="22" s="1"/>
  <c r="S47" i="22"/>
  <c r="T47" i="22" s="1"/>
  <c r="Q47" i="22"/>
  <c r="R47" i="22" s="1"/>
  <c r="P47" i="22"/>
  <c r="L47" i="22"/>
  <c r="N47" i="22" s="1"/>
  <c r="K47" i="22"/>
  <c r="M47" i="22" s="1"/>
  <c r="H47" i="22"/>
  <c r="J47" i="22" s="1"/>
  <c r="C47" i="22"/>
  <c r="L46" i="22"/>
  <c r="H46" i="22"/>
  <c r="E46" i="22"/>
  <c r="Q46" i="22" s="1"/>
  <c r="R46" i="22" s="1"/>
  <c r="S45" i="22"/>
  <c r="Q45" i="22"/>
  <c r="R45" i="22" s="1"/>
  <c r="P45" i="22"/>
  <c r="O45" i="22"/>
  <c r="L45" i="22"/>
  <c r="N45" i="22" s="1"/>
  <c r="K45" i="22"/>
  <c r="M45" i="22" s="1"/>
  <c r="H45" i="22"/>
  <c r="C45" i="22"/>
  <c r="A24" i="33"/>
  <c r="A22" i="33"/>
  <c r="A21" i="33"/>
  <c r="A20" i="33"/>
  <c r="A19" i="33"/>
  <c r="A18" i="33"/>
  <c r="A17" i="33"/>
  <c r="A16" i="33"/>
  <c r="A15" i="33"/>
  <c r="A14" i="33"/>
  <c r="A13" i="33"/>
  <c r="B11" i="33"/>
  <c r="C11" i="33" s="1"/>
  <c r="D11" i="33" s="1"/>
  <c r="E11" i="33" s="1"/>
  <c r="G11" i="33" s="1"/>
  <c r="H11" i="33" s="1"/>
  <c r="I11" i="33" s="1"/>
  <c r="J11" i="33" s="1"/>
  <c r="K11" i="33" s="1"/>
  <c r="L11" i="33" s="1"/>
  <c r="M11" i="33" s="1"/>
  <c r="N11" i="33" s="1"/>
  <c r="O11" i="33" s="1"/>
  <c r="P11" i="33" s="1"/>
  <c r="Q11" i="33" s="1"/>
  <c r="P8" i="33"/>
  <c r="A6" i="33"/>
  <c r="A5" i="33"/>
  <c r="A4" i="33"/>
  <c r="A3" i="33"/>
  <c r="E14" i="4"/>
  <c r="E13" i="4"/>
  <c r="A14" i="4"/>
  <c r="A13" i="4"/>
  <c r="A18" i="6"/>
  <c r="A19" i="6"/>
  <c r="A20" i="6"/>
  <c r="A21" i="6"/>
  <c r="A22" i="6"/>
  <c r="A23" i="6"/>
  <c r="A24" i="6"/>
  <c r="A25" i="6"/>
  <c r="A26" i="6"/>
  <c r="A28" i="6"/>
  <c r="A30" i="6"/>
  <c r="A32" i="6"/>
  <c r="A34" i="6"/>
  <c r="A36" i="6"/>
  <c r="A37" i="6"/>
  <c r="A38" i="6"/>
  <c r="A40" i="6"/>
  <c r="A41" i="6"/>
  <c r="A42" i="6"/>
  <c r="A43" i="6"/>
  <c r="A44" i="6"/>
  <c r="A45" i="6"/>
  <c r="A47" i="6"/>
  <c r="A48" i="6"/>
  <c r="A49" i="6"/>
  <c r="A50" i="6"/>
  <c r="A51" i="6"/>
  <c r="A52" i="6"/>
  <c r="A53" i="6"/>
  <c r="A54" i="6"/>
  <c r="A55" i="6"/>
  <c r="A57" i="6"/>
  <c r="A58" i="6"/>
  <c r="A60" i="6"/>
  <c r="A61" i="6"/>
  <c r="A63" i="6"/>
  <c r="A64" i="6"/>
  <c r="A75" i="6"/>
  <c r="A13" i="6"/>
  <c r="A14" i="6"/>
  <c r="A15" i="6"/>
  <c r="A16" i="6"/>
  <c r="A17" i="6"/>
  <c r="A12" i="6"/>
  <c r="D93" i="22"/>
  <c r="E33" i="6" s="1"/>
  <c r="D31" i="6"/>
  <c r="C31" i="6"/>
  <c r="B31" i="6"/>
  <c r="G70" i="22"/>
  <c r="G71" i="22" s="1"/>
  <c r="F58" i="35" s="1"/>
  <c r="I63" i="32"/>
  <c r="I103" i="30"/>
  <c r="D94" i="22"/>
  <c r="E15" i="4" s="1"/>
  <c r="E17" i="4" s="1"/>
  <c r="A14" i="11"/>
  <c r="B14" i="11" s="1"/>
  <c r="A85" i="3"/>
  <c r="A86" i="3"/>
  <c r="E42" i="22"/>
  <c r="H86" i="3" s="1"/>
  <c r="A58" i="3"/>
  <c r="A59" i="3"/>
  <c r="A60" i="3"/>
  <c r="A61" i="3"/>
  <c r="A62" i="3"/>
  <c r="C57" i="3"/>
  <c r="E57" i="3"/>
  <c r="C58" i="3"/>
  <c r="C59" i="3"/>
  <c r="C60" i="3"/>
  <c r="C61" i="3"/>
  <c r="E61" i="3"/>
  <c r="F61" i="3"/>
  <c r="C62" i="3"/>
  <c r="E62" i="3"/>
  <c r="F62" i="3"/>
  <c r="A46" i="3"/>
  <c r="C46" i="3"/>
  <c r="E46" i="3"/>
  <c r="F46" i="3"/>
  <c r="A47" i="3"/>
  <c r="C47" i="3"/>
  <c r="E47" i="3"/>
  <c r="F47" i="3"/>
  <c r="A48" i="3"/>
  <c r="C48" i="3"/>
  <c r="E48" i="3"/>
  <c r="F48" i="3"/>
  <c r="A49" i="3"/>
  <c r="C49" i="3"/>
  <c r="E49" i="3"/>
  <c r="F49" i="3"/>
  <c r="A44" i="3"/>
  <c r="C44" i="3"/>
  <c r="E44" i="3"/>
  <c r="F44" i="3"/>
  <c r="A30" i="3"/>
  <c r="C30" i="3"/>
  <c r="D30" i="3"/>
  <c r="E30" i="3"/>
  <c r="F30" i="3"/>
  <c r="A31" i="3"/>
  <c r="C31" i="3"/>
  <c r="A32" i="3"/>
  <c r="D32" i="3"/>
  <c r="E32" i="3"/>
  <c r="A33" i="3"/>
  <c r="C33" i="3"/>
  <c r="A18" i="3"/>
  <c r="C18" i="3"/>
  <c r="D18" i="3"/>
  <c r="E18" i="3"/>
  <c r="F18" i="3"/>
  <c r="A19" i="3"/>
  <c r="C19" i="3"/>
  <c r="D19" i="3"/>
  <c r="E19" i="3"/>
  <c r="F19" i="3"/>
  <c r="A20" i="3"/>
  <c r="C20" i="3"/>
  <c r="D20" i="3"/>
  <c r="E20" i="3"/>
  <c r="F20" i="3"/>
  <c r="A21" i="3"/>
  <c r="C21" i="3"/>
  <c r="D21" i="3"/>
  <c r="E21" i="3"/>
  <c r="F21" i="3"/>
  <c r="A22" i="3"/>
  <c r="C22" i="3"/>
  <c r="D22" i="3"/>
  <c r="E22" i="3"/>
  <c r="F22" i="3"/>
  <c r="A23" i="3"/>
  <c r="C23" i="3"/>
  <c r="D23" i="3"/>
  <c r="E23" i="3"/>
  <c r="F23" i="3"/>
  <c r="A24" i="3"/>
  <c r="C24" i="3"/>
  <c r="D24" i="3"/>
  <c r="E24" i="3"/>
  <c r="F24" i="3"/>
  <c r="A25" i="3"/>
  <c r="C25" i="3"/>
  <c r="D25" i="3"/>
  <c r="E25" i="3"/>
  <c r="F25" i="3"/>
  <c r="A26" i="3"/>
  <c r="C26" i="3"/>
  <c r="D26" i="3"/>
  <c r="E26" i="3"/>
  <c r="F26" i="3"/>
  <c r="A27" i="3"/>
  <c r="C27" i="3"/>
  <c r="D27" i="3"/>
  <c r="E27" i="3"/>
  <c r="F27" i="3"/>
  <c r="A28" i="3"/>
  <c r="C28" i="3"/>
  <c r="E28" i="3"/>
  <c r="F28" i="3"/>
  <c r="A29" i="3"/>
  <c r="C29" i="3"/>
  <c r="O36" i="22"/>
  <c r="P36" i="22"/>
  <c r="T36" i="22"/>
  <c r="E75" i="6"/>
  <c r="D35" i="6"/>
  <c r="E35" i="6"/>
  <c r="E36" i="6" s="1"/>
  <c r="D33" i="6"/>
  <c r="D29" i="6"/>
  <c r="D27" i="6"/>
  <c r="C35" i="6"/>
  <c r="B35" i="6"/>
  <c r="C33" i="6"/>
  <c r="B33" i="6"/>
  <c r="D88" i="22"/>
  <c r="E29" i="6" s="1"/>
  <c r="E30" i="6" s="1"/>
  <c r="D87" i="22"/>
  <c r="E27" i="6" s="1"/>
  <c r="G39" i="22"/>
  <c r="G40" i="22" s="1"/>
  <c r="E20" i="22"/>
  <c r="T20" i="22" s="1"/>
  <c r="O20" i="22"/>
  <c r="T21" i="22"/>
  <c r="E18" i="22"/>
  <c r="O18" i="22"/>
  <c r="L18" i="22"/>
  <c r="N18" i="22" s="1"/>
  <c r="H18" i="22"/>
  <c r="J18" i="22" s="1"/>
  <c r="F31" i="22"/>
  <c r="E58" i="3" s="1"/>
  <c r="G30" i="22"/>
  <c r="L30" i="22" s="1"/>
  <c r="N30" i="22" s="1"/>
  <c r="E31" i="22"/>
  <c r="D58" i="3" s="1"/>
  <c r="E32" i="22"/>
  <c r="E33" i="22"/>
  <c r="C33" i="22" s="1"/>
  <c r="E34" i="22"/>
  <c r="H34" i="22"/>
  <c r="J34" i="22" s="1"/>
  <c r="H61" i="3" s="1"/>
  <c r="L34" i="22"/>
  <c r="N34" i="22" s="1"/>
  <c r="E35" i="22"/>
  <c r="S35" i="22" s="1"/>
  <c r="H35" i="22"/>
  <c r="J35" i="22" s="1"/>
  <c r="H62" i="3" s="1"/>
  <c r="L35" i="22"/>
  <c r="N35" i="22" s="1"/>
  <c r="E28" i="22"/>
  <c r="K28" i="22" s="1"/>
  <c r="M28" i="22" s="1"/>
  <c r="C26" i="22"/>
  <c r="H25" i="22"/>
  <c r="J25" i="22" s="1"/>
  <c r="L25" i="22"/>
  <c r="N25" i="22" s="1"/>
  <c r="E27" i="22"/>
  <c r="Q27" i="22" s="1"/>
  <c r="R27" i="22" s="1"/>
  <c r="E30" i="22"/>
  <c r="E23" i="22"/>
  <c r="C23" i="22" s="1"/>
  <c r="E16" i="22"/>
  <c r="Q16" i="22" s="1"/>
  <c r="R16" i="22" s="1"/>
  <c r="E12" i="22"/>
  <c r="C12" i="22"/>
  <c r="E10" i="22"/>
  <c r="E8" i="22"/>
  <c r="Q8" i="22" s="1"/>
  <c r="R8" i="22" s="1"/>
  <c r="E6" i="22"/>
  <c r="S6" i="22" s="1"/>
  <c r="L14" i="22"/>
  <c r="N14" i="22" s="1"/>
  <c r="O14" i="22"/>
  <c r="C15" i="22"/>
  <c r="H15" i="22"/>
  <c r="J15" i="22" s="1"/>
  <c r="K15" i="22"/>
  <c r="M15" i="22" s="1"/>
  <c r="L15" i="22"/>
  <c r="N15" i="22" s="1"/>
  <c r="O15" i="22"/>
  <c r="P15" i="22"/>
  <c r="Q15" i="22"/>
  <c r="R15" i="22" s="1"/>
  <c r="S15" i="22"/>
  <c r="H16" i="22"/>
  <c r="J16" i="22" s="1"/>
  <c r="L16" i="22"/>
  <c r="N16" i="22" s="1"/>
  <c r="O16" i="22"/>
  <c r="I90" i="30"/>
  <c r="I91" i="30"/>
  <c r="I92" i="30"/>
  <c r="I93" i="30"/>
  <c r="I94" i="30"/>
  <c r="I95" i="30"/>
  <c r="I97" i="30"/>
  <c r="I98" i="30"/>
  <c r="I99" i="30"/>
  <c r="I100" i="30"/>
  <c r="I101" i="30"/>
  <c r="I89" i="30"/>
  <c r="G108" i="30"/>
  <c r="G109" i="30" s="1"/>
  <c r="I109" i="30" s="1"/>
  <c r="I106" i="30"/>
  <c r="I107" i="30" s="1"/>
  <c r="G68" i="32"/>
  <c r="G69" i="32" s="1"/>
  <c r="I69" i="32" s="1"/>
  <c r="A120" i="30"/>
  <c r="A119" i="30"/>
  <c r="A118" i="30"/>
  <c r="A117" i="30"/>
  <c r="A116" i="30"/>
  <c r="A115" i="30"/>
  <c r="A114" i="30"/>
  <c r="A113" i="30"/>
  <c r="A112" i="30"/>
  <c r="A111" i="30"/>
  <c r="H81" i="30"/>
  <c r="H82" i="30" s="1"/>
  <c r="H83" i="30" s="1"/>
  <c r="H84" i="30" s="1"/>
  <c r="H85" i="30" s="1"/>
  <c r="H86" i="30" s="1"/>
  <c r="H73" i="30"/>
  <c r="H74" i="30" s="1"/>
  <c r="H75" i="30" s="1"/>
  <c r="H76" i="30" s="1"/>
  <c r="H77" i="30" s="1"/>
  <c r="H78" i="30" s="1"/>
  <c r="H15" i="30"/>
  <c r="H16" i="30" s="1"/>
  <c r="H17" i="30" s="1"/>
  <c r="H18" i="30" s="1"/>
  <c r="H19" i="30" s="1"/>
  <c r="H20" i="30" s="1"/>
  <c r="H21" i="30" s="1"/>
  <c r="H22" i="30" s="1"/>
  <c r="H23" i="30" s="1"/>
  <c r="H24" i="30" s="1"/>
  <c r="H25" i="30" s="1"/>
  <c r="H26" i="30" s="1"/>
  <c r="H27" i="30" s="1"/>
  <c r="H28" i="30" s="1"/>
  <c r="H29" i="30" s="1"/>
  <c r="H30" i="30" s="1"/>
  <c r="H31" i="30" s="1"/>
  <c r="H32" i="30" s="1"/>
  <c r="H33" i="30" s="1"/>
  <c r="H34" i="30" s="1"/>
  <c r="H35" i="30" s="1"/>
  <c r="H36" i="30" s="1"/>
  <c r="H37" i="30" s="1"/>
  <c r="H38" i="30" s="1"/>
  <c r="H39" i="30" s="1"/>
  <c r="H40" i="30" s="1"/>
  <c r="H41" i="30" s="1"/>
  <c r="H42" i="30" s="1"/>
  <c r="H43" i="30" s="1"/>
  <c r="H44" i="30" s="1"/>
  <c r="H45" i="30" s="1"/>
  <c r="H46" i="30" s="1"/>
  <c r="H47" i="30" s="1"/>
  <c r="H48" i="30" s="1"/>
  <c r="H49" i="30" s="1"/>
  <c r="H50" i="30" s="1"/>
  <c r="H51" i="30" s="1"/>
  <c r="A80" i="32"/>
  <c r="A79" i="32"/>
  <c r="A78" i="32"/>
  <c r="A77" i="32"/>
  <c r="A76" i="32"/>
  <c r="A75" i="32"/>
  <c r="A74" i="32"/>
  <c r="A73" i="32"/>
  <c r="A72" i="32"/>
  <c r="A71" i="32"/>
  <c r="I66" i="32"/>
  <c r="I67" i="32" s="1"/>
  <c r="I54" i="32"/>
  <c r="I55" i="32"/>
  <c r="I56" i="32"/>
  <c r="I57" i="32"/>
  <c r="I58" i="32"/>
  <c r="I59" i="32"/>
  <c r="I60" i="32"/>
  <c r="I61" i="32"/>
  <c r="I53" i="32"/>
  <c r="C26" i="11"/>
  <c r="H49" i="32"/>
  <c r="H46" i="32"/>
  <c r="H15" i="32"/>
  <c r="H16" i="32" s="1"/>
  <c r="H17" i="32" s="1"/>
  <c r="H18" i="32" s="1"/>
  <c r="H19" i="32" s="1"/>
  <c r="H20" i="32" s="1"/>
  <c r="H21" i="32" s="1"/>
  <c r="H22" i="32" s="1"/>
  <c r="H23" i="32" s="1"/>
  <c r="B11" i="32"/>
  <c r="C11" i="32" s="1"/>
  <c r="H11" i="32" s="1"/>
  <c r="I11" i="32" s="1"/>
  <c r="K11" i="32" s="1"/>
  <c r="L11" i="32" s="1"/>
  <c r="M11" i="32" s="1"/>
  <c r="N11" i="32" s="1"/>
  <c r="O11" i="32" s="1"/>
  <c r="P11" i="32" s="1"/>
  <c r="Q11" i="32" s="1"/>
  <c r="R11" i="32" s="1"/>
  <c r="S11" i="32" s="1"/>
  <c r="T11" i="32" s="1"/>
  <c r="U11" i="32" s="1"/>
  <c r="T8" i="32"/>
  <c r="A6" i="32"/>
  <c r="A5" i="32"/>
  <c r="A4" i="32"/>
  <c r="A3" i="32"/>
  <c r="C24" i="11"/>
  <c r="B11" i="30"/>
  <c r="C11" i="30" s="1"/>
  <c r="H11" i="30" s="1"/>
  <c r="I11" i="30" s="1"/>
  <c r="K11" i="30" s="1"/>
  <c r="L11" i="30" s="1"/>
  <c r="M11" i="30" s="1"/>
  <c r="N11" i="30" s="1"/>
  <c r="O11" i="30" s="1"/>
  <c r="P11" i="30" s="1"/>
  <c r="Q11" i="30" s="1"/>
  <c r="R11" i="30" s="1"/>
  <c r="S11" i="30" s="1"/>
  <c r="T11" i="30" s="1"/>
  <c r="U11" i="30" s="1"/>
  <c r="T8" i="30"/>
  <c r="A6" i="30"/>
  <c r="A5" i="30"/>
  <c r="A4" i="30"/>
  <c r="A3" i="30"/>
  <c r="E63" i="29"/>
  <c r="E62" i="29"/>
  <c r="E58" i="29"/>
  <c r="E56" i="29"/>
  <c r="E54" i="29"/>
  <c r="E51" i="29"/>
  <c r="E50" i="29"/>
  <c r="E45" i="29"/>
  <c r="E38" i="29"/>
  <c r="E37" i="29"/>
  <c r="E28" i="29"/>
  <c r="E25" i="29"/>
  <c r="E24" i="29"/>
  <c r="E63" i="24"/>
  <c r="E62" i="24"/>
  <c r="E54" i="25"/>
  <c r="E53" i="25"/>
  <c r="E43" i="25"/>
  <c r="E40" i="25"/>
  <c r="E33" i="25"/>
  <c r="E23" i="25"/>
  <c r="E21" i="25"/>
  <c r="E18" i="25"/>
  <c r="E18" i="8"/>
  <c r="E55" i="8"/>
  <c r="E54" i="8"/>
  <c r="E50" i="8"/>
  <c r="E41" i="8"/>
  <c r="E31" i="8"/>
  <c r="E21" i="8"/>
  <c r="E91" i="27"/>
  <c r="E90" i="27"/>
  <c r="E85" i="27"/>
  <c r="E84" i="27"/>
  <c r="E71" i="27"/>
  <c r="E73" i="27" s="1"/>
  <c r="E62" i="27"/>
  <c r="E57" i="27"/>
  <c r="E56" i="27"/>
  <c r="E115" i="7"/>
  <c r="E108" i="7"/>
  <c r="E109" i="7" s="1"/>
  <c r="E104" i="7"/>
  <c r="E103" i="7"/>
  <c r="E90" i="7"/>
  <c r="E91" i="7" s="1"/>
  <c r="E78" i="7"/>
  <c r="E80" i="7"/>
  <c r="E79" i="7"/>
  <c r="E32" i="25"/>
  <c r="E44" i="8"/>
  <c r="E23" i="8"/>
  <c r="E46" i="7"/>
  <c r="E47" i="7"/>
  <c r="A72" i="9"/>
  <c r="E18" i="26"/>
  <c r="E17" i="26"/>
  <c r="E16" i="26"/>
  <c r="E22" i="26"/>
  <c r="E23" i="26" s="1"/>
  <c r="E29" i="26"/>
  <c r="E35" i="26"/>
  <c r="E36" i="26" s="1"/>
  <c r="E31" i="26"/>
  <c r="E41" i="26"/>
  <c r="E40" i="26"/>
  <c r="E71" i="9"/>
  <c r="E69" i="9"/>
  <c r="E41" i="9"/>
  <c r="E40" i="9"/>
  <c r="E35" i="9"/>
  <c r="E36" i="9" s="1"/>
  <c r="E31" i="9"/>
  <c r="E29" i="9"/>
  <c r="E22" i="9"/>
  <c r="E23" i="9" s="1"/>
  <c r="E15" i="9"/>
  <c r="E17" i="9" s="1"/>
  <c r="A17" i="4"/>
  <c r="C30" i="11"/>
  <c r="C28" i="11"/>
  <c r="C25" i="11"/>
  <c r="C22" i="11"/>
  <c r="E17" i="29"/>
  <c r="B11" i="29"/>
  <c r="C11" i="29" s="1"/>
  <c r="D11" i="29" s="1"/>
  <c r="E11" i="29" s="1"/>
  <c r="G11" i="29" s="1"/>
  <c r="H11" i="29" s="1"/>
  <c r="I11" i="29" s="1"/>
  <c r="J11" i="29" s="1"/>
  <c r="K11" i="29" s="1"/>
  <c r="L11" i="29" s="1"/>
  <c r="M11" i="29" s="1"/>
  <c r="N11" i="29" s="1"/>
  <c r="O11" i="29" s="1"/>
  <c r="P11" i="29" s="1"/>
  <c r="Q11" i="29" s="1"/>
  <c r="P8" i="29"/>
  <c r="A6" i="29"/>
  <c r="A5" i="29"/>
  <c r="A4" i="29"/>
  <c r="A3" i="29"/>
  <c r="E94" i="27"/>
  <c r="E81" i="27"/>
  <c r="E80" i="27"/>
  <c r="E70" i="27"/>
  <c r="E69" i="27"/>
  <c r="E60" i="27"/>
  <c r="E52" i="27"/>
  <c r="E50" i="27"/>
  <c r="E48" i="27"/>
  <c r="E47" i="27"/>
  <c r="E45" i="27"/>
  <c r="E39" i="27"/>
  <c r="E38" i="27"/>
  <c r="E36" i="27"/>
  <c r="E35" i="27"/>
  <c r="E31" i="27"/>
  <c r="E29" i="27"/>
  <c r="E26" i="27"/>
  <c r="E22" i="27"/>
  <c r="E16" i="27"/>
  <c r="E15" i="27"/>
  <c r="E14" i="27"/>
  <c r="E13" i="27"/>
  <c r="E58" i="26"/>
  <c r="E46" i="26"/>
  <c r="E44" i="26"/>
  <c r="E43" i="26"/>
  <c r="E36" i="25"/>
  <c r="E26" i="25"/>
  <c r="E36" i="8"/>
  <c r="E37" i="8"/>
  <c r="E49" i="8"/>
  <c r="E52" i="8"/>
  <c r="A131" i="7"/>
  <c r="A130" i="7"/>
  <c r="A129" i="7"/>
  <c r="A128" i="7"/>
  <c r="A127" i="7"/>
  <c r="A126" i="7"/>
  <c r="A125" i="7"/>
  <c r="A124" i="7"/>
  <c r="A123" i="7"/>
  <c r="A122" i="7"/>
  <c r="A121" i="7"/>
  <c r="E113" i="7"/>
  <c r="E111" i="7"/>
  <c r="E106" i="7"/>
  <c r="E100" i="7"/>
  <c r="E99" i="7"/>
  <c r="E89" i="7"/>
  <c r="E88" i="7"/>
  <c r="E87" i="7"/>
  <c r="E76" i="7"/>
  <c r="E73" i="7"/>
  <c r="E72" i="7"/>
  <c r="E69" i="7"/>
  <c r="E68" i="7"/>
  <c r="E66" i="7"/>
  <c r="E64" i="7"/>
  <c r="E63" i="7"/>
  <c r="E61" i="7"/>
  <c r="E55" i="7"/>
  <c r="E54" i="7"/>
  <c r="E52" i="7"/>
  <c r="E51" i="7"/>
  <c r="A101" i="27"/>
  <c r="B11" i="27"/>
  <c r="C11" i="27" s="1"/>
  <c r="D11" i="27" s="1"/>
  <c r="E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P8" i="27"/>
  <c r="A6" i="27"/>
  <c r="A5" i="27"/>
  <c r="A4" i="27"/>
  <c r="A3" i="27"/>
  <c r="E43" i="7"/>
  <c r="E42" i="7"/>
  <c r="E38" i="7"/>
  <c r="E35" i="7"/>
  <c r="E34" i="7"/>
  <c r="E30" i="7"/>
  <c r="E29" i="7"/>
  <c r="E27" i="7"/>
  <c r="E25" i="7"/>
  <c r="E16" i="7"/>
  <c r="E15" i="7"/>
  <c r="E14" i="7"/>
  <c r="E13" i="7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B11" i="26"/>
  <c r="C11" i="26" s="1"/>
  <c r="D11" i="26" s="1"/>
  <c r="E11" i="26" s="1"/>
  <c r="G11" i="26" s="1"/>
  <c r="H11" i="26" s="1"/>
  <c r="I11" i="26" s="1"/>
  <c r="J11" i="26" s="1"/>
  <c r="K11" i="26" s="1"/>
  <c r="L11" i="26" s="1"/>
  <c r="M11" i="26" s="1"/>
  <c r="N11" i="26" s="1"/>
  <c r="O11" i="26" s="1"/>
  <c r="P11" i="26" s="1"/>
  <c r="Q11" i="26" s="1"/>
  <c r="P8" i="26"/>
  <c r="A6" i="26"/>
  <c r="A5" i="26"/>
  <c r="A4" i="26"/>
  <c r="A3" i="26"/>
  <c r="E67" i="9"/>
  <c r="E66" i="9"/>
  <c r="E65" i="9"/>
  <c r="E61" i="9"/>
  <c r="E59" i="9"/>
  <c r="E58" i="9"/>
  <c r="E50" i="9"/>
  <c r="E46" i="9"/>
  <c r="E44" i="9"/>
  <c r="E43" i="9"/>
  <c r="E13" i="8"/>
  <c r="B11" i="25"/>
  <c r="C11" i="25" s="1"/>
  <c r="D11" i="25" s="1"/>
  <c r="E11" i="25" s="1"/>
  <c r="G11" i="25" s="1"/>
  <c r="H11" i="25" s="1"/>
  <c r="I11" i="25" s="1"/>
  <c r="J11" i="25" s="1"/>
  <c r="K11" i="25" s="1"/>
  <c r="L11" i="25" s="1"/>
  <c r="M11" i="25" s="1"/>
  <c r="N11" i="25" s="1"/>
  <c r="O11" i="25" s="1"/>
  <c r="P11" i="25" s="1"/>
  <c r="Q11" i="25" s="1"/>
  <c r="P8" i="25"/>
  <c r="A6" i="25"/>
  <c r="A5" i="25"/>
  <c r="A4" i="25"/>
  <c r="A3" i="25"/>
  <c r="A7" i="21"/>
  <c r="A6" i="21"/>
  <c r="A5" i="21"/>
  <c r="A4" i="21"/>
  <c r="Q39" i="22"/>
  <c r="Q40" i="22"/>
  <c r="Q41" i="22"/>
  <c r="Q38" i="22"/>
  <c r="Q5" i="22"/>
  <c r="R5" i="22" s="1"/>
  <c r="Q7" i="22"/>
  <c r="R7" i="22" s="1"/>
  <c r="Q9" i="22"/>
  <c r="R9" i="22" s="1"/>
  <c r="Q11" i="22"/>
  <c r="R11" i="22" s="1"/>
  <c r="Q13" i="22"/>
  <c r="R13" i="22" s="1"/>
  <c r="Q24" i="22"/>
  <c r="R24" i="22" s="1"/>
  <c r="Q26" i="22"/>
  <c r="R26" i="22" s="1"/>
  <c r="K5" i="22"/>
  <c r="M5" i="22" s="1"/>
  <c r="C27" i="6"/>
  <c r="A3" i="16"/>
  <c r="A3" i="37" s="1"/>
  <c r="A4" i="16"/>
  <c r="A4" i="37" s="1"/>
  <c r="A5" i="16"/>
  <c r="A5" i="37" s="1"/>
  <c r="A6" i="16"/>
  <c r="A6" i="37" s="1"/>
  <c r="P8" i="16"/>
  <c r="O8" i="37" s="1"/>
  <c r="B11" i="16"/>
  <c r="C11" i="16" s="1"/>
  <c r="E11" i="16" s="1"/>
  <c r="F11" i="16" s="1"/>
  <c r="G11" i="16" s="1"/>
  <c r="H11" i="16" s="1"/>
  <c r="I11" i="16" s="1"/>
  <c r="J11" i="16" s="1"/>
  <c r="K11" i="16" s="1"/>
  <c r="L11" i="16" s="1"/>
  <c r="M11" i="16" s="1"/>
  <c r="N11" i="16" s="1"/>
  <c r="O11" i="16" s="1"/>
  <c r="P11" i="16" s="1"/>
  <c r="Q11" i="16" s="1"/>
  <c r="A12" i="16"/>
  <c r="M27" i="16"/>
  <c r="E33" i="11" s="1"/>
  <c r="O27" i="16"/>
  <c r="G33" i="11" s="1"/>
  <c r="P27" i="16"/>
  <c r="H33" i="11" s="1"/>
  <c r="A3" i="15"/>
  <c r="A4" i="15"/>
  <c r="A5" i="15"/>
  <c r="A6" i="15"/>
  <c r="P8" i="15"/>
  <c r="B12" i="15"/>
  <c r="C12" i="15" s="1"/>
  <c r="E12" i="15" s="1"/>
  <c r="F12" i="15" s="1"/>
  <c r="G12" i="15" s="1"/>
  <c r="H12" i="15" s="1"/>
  <c r="I12" i="15" s="1"/>
  <c r="J12" i="15" s="1"/>
  <c r="K12" i="15" s="1"/>
  <c r="L12" i="15" s="1"/>
  <c r="M12" i="15" s="1"/>
  <c r="N12" i="15" s="1"/>
  <c r="O12" i="15" s="1"/>
  <c r="P12" i="15" s="1"/>
  <c r="Q12" i="15" s="1"/>
  <c r="A13" i="15"/>
  <c r="O36" i="15"/>
  <c r="G32" i="11" s="1"/>
  <c r="A3" i="20"/>
  <c r="A4" i="20"/>
  <c r="A5" i="20"/>
  <c r="A6" i="20"/>
  <c r="B11" i="20"/>
  <c r="C11" i="20" s="1"/>
  <c r="D11" i="20" s="1"/>
  <c r="E11" i="20" s="1"/>
  <c r="G11" i="20" s="1"/>
  <c r="H11" i="20" s="1"/>
  <c r="I11" i="20" s="1"/>
  <c r="J11" i="20" s="1"/>
  <c r="K11" i="20" s="1"/>
  <c r="L11" i="20" s="1"/>
  <c r="M11" i="20" s="1"/>
  <c r="N11" i="20" s="1"/>
  <c r="O11" i="20" s="1"/>
  <c r="P11" i="20" s="1"/>
  <c r="Q11" i="20" s="1"/>
  <c r="A3" i="24"/>
  <c r="A4" i="24"/>
  <c r="A5" i="24"/>
  <c r="A6" i="24"/>
  <c r="P8" i="24"/>
  <c r="B11" i="24"/>
  <c r="C11" i="24" s="1"/>
  <c r="D11" i="24" s="1"/>
  <c r="E11" i="24" s="1"/>
  <c r="G11" i="24" s="1"/>
  <c r="H11" i="24" s="1"/>
  <c r="I11" i="24" s="1"/>
  <c r="J11" i="24" s="1"/>
  <c r="K11" i="24" s="1"/>
  <c r="L11" i="24" s="1"/>
  <c r="M11" i="24" s="1"/>
  <c r="N11" i="24" s="1"/>
  <c r="O11" i="24" s="1"/>
  <c r="P11" i="24" s="1"/>
  <c r="Q11" i="24" s="1"/>
  <c r="A3" i="8"/>
  <c r="A4" i="8"/>
  <c r="A5" i="8"/>
  <c r="A6" i="8"/>
  <c r="P8" i="8"/>
  <c r="B11" i="8"/>
  <c r="C11" i="8" s="1"/>
  <c r="D11" i="8" s="1"/>
  <c r="E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A3" i="7"/>
  <c r="A4" i="7"/>
  <c r="A5" i="7"/>
  <c r="A6" i="7"/>
  <c r="P8" i="7"/>
  <c r="B11" i="7"/>
  <c r="C11" i="7" s="1"/>
  <c r="D11" i="7" s="1"/>
  <c r="E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A3" i="9"/>
  <c r="A4" i="9"/>
  <c r="A5" i="9"/>
  <c r="A6" i="9"/>
  <c r="P8" i="9"/>
  <c r="B11" i="9"/>
  <c r="C11" i="9" s="1"/>
  <c r="D11" i="9" s="1"/>
  <c r="E11" i="9" s="1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3" i="4"/>
  <c r="A4" i="4"/>
  <c r="A5" i="4"/>
  <c r="A6" i="4"/>
  <c r="P8" i="4"/>
  <c r="B11" i="4"/>
  <c r="C11" i="4" s="1"/>
  <c r="D11" i="4" s="1"/>
  <c r="E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A12" i="4"/>
  <c r="A15" i="4"/>
  <c r="A16" i="4"/>
  <c r="A18" i="4"/>
  <c r="A19" i="4"/>
  <c r="A20" i="4"/>
  <c r="A21" i="4"/>
  <c r="A22" i="4"/>
  <c r="A24" i="4"/>
  <c r="A3" i="5"/>
  <c r="A4" i="5"/>
  <c r="A5" i="5"/>
  <c r="A6" i="5"/>
  <c r="P8" i="5"/>
  <c r="B12" i="5"/>
  <c r="D12" i="5"/>
  <c r="E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A13" i="5"/>
  <c r="E13" i="5"/>
  <c r="A14" i="5"/>
  <c r="E14" i="5"/>
  <c r="A15" i="5"/>
  <c r="E15" i="5"/>
  <c r="E25" i="5" s="1"/>
  <c r="A16" i="5"/>
  <c r="A17" i="5"/>
  <c r="A18" i="5"/>
  <c r="A19" i="5"/>
  <c r="A20" i="5"/>
  <c r="C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E35" i="5"/>
  <c r="E37" i="5" s="1"/>
  <c r="E38" i="5" s="1"/>
  <c r="A36" i="5"/>
  <c r="A37" i="5"/>
  <c r="A38" i="5"/>
  <c r="A39" i="5"/>
  <c r="A40" i="5"/>
  <c r="A41" i="5"/>
  <c r="A42" i="5"/>
  <c r="A43" i="5"/>
  <c r="A45" i="5"/>
  <c r="A44" i="5"/>
  <c r="A3" i="3"/>
  <c r="A4" i="3"/>
  <c r="A5" i="3"/>
  <c r="A6" i="3"/>
  <c r="S8" i="3"/>
  <c r="B11" i="3"/>
  <c r="C11" i="3" s="1"/>
  <c r="G11" i="3" s="1"/>
  <c r="H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A12" i="3"/>
  <c r="A13" i="3"/>
  <c r="A14" i="3"/>
  <c r="A15" i="3"/>
  <c r="E15" i="3"/>
  <c r="F15" i="3"/>
  <c r="A17" i="3"/>
  <c r="C17" i="3"/>
  <c r="D17" i="3"/>
  <c r="E17" i="3"/>
  <c r="F17" i="3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30" i="3" s="1"/>
  <c r="G31" i="3" s="1"/>
  <c r="G32" i="3" s="1"/>
  <c r="G33" i="3" s="1"/>
  <c r="A36" i="3"/>
  <c r="A37" i="3"/>
  <c r="A38" i="3"/>
  <c r="A39" i="3"/>
  <c r="A40" i="3"/>
  <c r="A41" i="3"/>
  <c r="A42" i="3"/>
  <c r="A43" i="3"/>
  <c r="A45" i="3"/>
  <c r="C45" i="3"/>
  <c r="E45" i="3"/>
  <c r="F45" i="3"/>
  <c r="A50" i="3"/>
  <c r="A51" i="3"/>
  <c r="A52" i="3"/>
  <c r="A53" i="3"/>
  <c r="A54" i="3"/>
  <c r="A55" i="3"/>
  <c r="A56" i="3"/>
  <c r="A57" i="3"/>
  <c r="A65" i="3"/>
  <c r="D65" i="3"/>
  <c r="E65" i="3"/>
  <c r="F65" i="3"/>
  <c r="A66" i="3"/>
  <c r="C66" i="3"/>
  <c r="D66" i="3"/>
  <c r="E66" i="3"/>
  <c r="A67" i="3"/>
  <c r="C67" i="3"/>
  <c r="D67" i="3"/>
  <c r="E67" i="3"/>
  <c r="A68" i="3"/>
  <c r="C68" i="3"/>
  <c r="D68" i="3"/>
  <c r="E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7" i="3"/>
  <c r="A88" i="3"/>
  <c r="C5" i="22"/>
  <c r="H5" i="22"/>
  <c r="J5" i="22" s="1"/>
  <c r="P5" i="22"/>
  <c r="S5" i="22"/>
  <c r="H6" i="22"/>
  <c r="J6" i="22" s="1"/>
  <c r="L6" i="22"/>
  <c r="N6" i="22" s="1"/>
  <c r="O6" i="22"/>
  <c r="C7" i="22"/>
  <c r="H7" i="22"/>
  <c r="K7" i="22"/>
  <c r="M7" i="22" s="1"/>
  <c r="L7" i="22"/>
  <c r="N7" i="22" s="1"/>
  <c r="O7" i="22"/>
  <c r="P7" i="22"/>
  <c r="S7" i="22"/>
  <c r="H8" i="22"/>
  <c r="J8" i="22" s="1"/>
  <c r="L8" i="22"/>
  <c r="O8" i="22"/>
  <c r="C9" i="22"/>
  <c r="H9" i="22"/>
  <c r="K9" i="22"/>
  <c r="M9" i="22" s="1"/>
  <c r="L9" i="22"/>
  <c r="N9" i="22" s="1"/>
  <c r="O9" i="22"/>
  <c r="P9" i="22"/>
  <c r="S9" i="22"/>
  <c r="H10" i="22"/>
  <c r="K10" i="22"/>
  <c r="M10" i="22" s="1"/>
  <c r="L10" i="22"/>
  <c r="N10" i="22" s="1"/>
  <c r="O10" i="22"/>
  <c r="P10" i="22"/>
  <c r="C11" i="22"/>
  <c r="H11" i="22"/>
  <c r="K11" i="22"/>
  <c r="M11" i="22" s="1"/>
  <c r="L11" i="22"/>
  <c r="N11" i="22" s="1"/>
  <c r="O11" i="22"/>
  <c r="P11" i="22"/>
  <c r="S11" i="22"/>
  <c r="H12" i="22"/>
  <c r="J12" i="22" s="1"/>
  <c r="L12" i="22"/>
  <c r="N12" i="22" s="1"/>
  <c r="O12" i="22"/>
  <c r="H13" i="22"/>
  <c r="I13" i="22" s="1"/>
  <c r="K13" i="22"/>
  <c r="M13" i="22" s="1"/>
  <c r="L13" i="22"/>
  <c r="N13" i="22" s="1"/>
  <c r="O13" i="22"/>
  <c r="P13" i="22"/>
  <c r="S13" i="22"/>
  <c r="H23" i="22"/>
  <c r="C24" i="22"/>
  <c r="H24" i="22"/>
  <c r="J24" i="22" s="1"/>
  <c r="K24" i="22"/>
  <c r="M24" i="22" s="1"/>
  <c r="L24" i="22"/>
  <c r="N24" i="22" s="1"/>
  <c r="S24" i="22"/>
  <c r="H26" i="22"/>
  <c r="K26" i="22"/>
  <c r="M26" i="22" s="1"/>
  <c r="L26" i="22"/>
  <c r="N26" i="22" s="1"/>
  <c r="S26" i="22"/>
  <c r="H27" i="22"/>
  <c r="J27" i="22" s="1"/>
  <c r="L27" i="22"/>
  <c r="N27" i="22" s="1"/>
  <c r="H28" i="22"/>
  <c r="J28" i="22" s="1"/>
  <c r="L28" i="22"/>
  <c r="N28" i="22" s="1"/>
  <c r="H38" i="22"/>
  <c r="J38" i="22" s="1"/>
  <c r="H65" i="3" s="1"/>
  <c r="H1" i="6"/>
  <c r="A3" i="6"/>
  <c r="A4" i="6"/>
  <c r="A5" i="6"/>
  <c r="A6" i="6"/>
  <c r="P8" i="6"/>
  <c r="B11" i="6"/>
  <c r="C11" i="6" s="1"/>
  <c r="D11" i="6" s="1"/>
  <c r="E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E12" i="6"/>
  <c r="E15" i="6" s="1"/>
  <c r="F14" i="6"/>
  <c r="B27" i="6"/>
  <c r="B29" i="6"/>
  <c r="C29" i="6"/>
  <c r="C67" i="6"/>
  <c r="C68" i="6"/>
  <c r="C69" i="6"/>
  <c r="C70" i="6"/>
  <c r="C71" i="6"/>
  <c r="B13" i="11"/>
  <c r="C13" i="11"/>
  <c r="C15" i="11"/>
  <c r="C17" i="11"/>
  <c r="C19" i="11"/>
  <c r="C21" i="11"/>
  <c r="C23" i="11"/>
  <c r="C27" i="11"/>
  <c r="C29" i="11"/>
  <c r="C31" i="11"/>
  <c r="C32" i="11"/>
  <c r="C33" i="11"/>
  <c r="K18" i="22"/>
  <c r="M18" i="22" s="1"/>
  <c r="Q6" i="22"/>
  <c r="S28" i="22"/>
  <c r="S14" i="22"/>
  <c r="P14" i="22"/>
  <c r="J14" i="22"/>
  <c r="E37" i="9"/>
  <c r="S8" i="22"/>
  <c r="P8" i="22"/>
  <c r="D59" i="3"/>
  <c r="F57" i="3"/>
  <c r="C32" i="22"/>
  <c r="E45" i="5"/>
  <c r="E46" i="5" s="1"/>
  <c r="F32" i="22"/>
  <c r="F33" i="22" s="1"/>
  <c r="O121" i="7"/>
  <c r="G23" i="11" s="1"/>
  <c r="P36" i="15"/>
  <c r="H32" i="11" s="1"/>
  <c r="M36" i="15"/>
  <c r="E32" i="11" s="1"/>
  <c r="Q36" i="15"/>
  <c r="I32" i="11" s="1"/>
  <c r="N36" i="15"/>
  <c r="F32" i="11" s="1"/>
  <c r="O24" i="4"/>
  <c r="G19" i="11" s="1"/>
  <c r="P102" i="27"/>
  <c r="H25" i="11" s="1"/>
  <c r="P121" i="7"/>
  <c r="H23" i="11" s="1"/>
  <c r="M102" i="27"/>
  <c r="E25" i="11" s="1"/>
  <c r="O102" i="27"/>
  <c r="G25" i="11" s="1"/>
  <c r="M24" i="4"/>
  <c r="E19" i="11" s="1"/>
  <c r="M121" i="7"/>
  <c r="E23" i="11" s="1"/>
  <c r="E57" i="35"/>
  <c r="J65" i="22"/>
  <c r="Q71" i="32"/>
  <c r="E26" i="11" s="1"/>
  <c r="S71" i="32"/>
  <c r="G26" i="11" s="1"/>
  <c r="T71" i="32"/>
  <c r="H26" i="11" s="1"/>
  <c r="Q111" i="30"/>
  <c r="E24" i="11" s="1"/>
  <c r="S111" i="30"/>
  <c r="G24" i="11" s="1"/>
  <c r="T111" i="30"/>
  <c r="H24" i="11" s="1"/>
  <c r="N102" i="27"/>
  <c r="F25" i="11" s="1"/>
  <c r="N121" i="7"/>
  <c r="F23" i="11" s="1"/>
  <c r="Q27" i="16"/>
  <c r="I33" i="11" s="1"/>
  <c r="N27" i="16"/>
  <c r="F33" i="11" s="1"/>
  <c r="R111" i="30"/>
  <c r="F24" i="11" s="1"/>
  <c r="P55" i="34"/>
  <c r="H18" i="11" s="1"/>
  <c r="U71" i="32"/>
  <c r="U111" i="30"/>
  <c r="I24" i="11" s="1"/>
  <c r="R71" i="32"/>
  <c r="F26" i="11" s="1"/>
  <c r="O52" i="37"/>
  <c r="H34" i="11" s="1"/>
  <c r="Q121" i="7"/>
  <c r="Q102" i="27"/>
  <c r="N52" i="37"/>
  <c r="G34" i="11" s="1"/>
  <c r="L52" i="37"/>
  <c r="E34" i="11" s="1"/>
  <c r="M52" i="37"/>
  <c r="F34" i="11" s="1"/>
  <c r="P52" i="37"/>
  <c r="I34" i="11" s="1"/>
  <c r="Q55" i="34"/>
  <c r="M55" i="34"/>
  <c r="E18" i="11" s="1"/>
  <c r="N55" i="34"/>
  <c r="F18" i="11" s="1"/>
  <c r="O55" i="34"/>
  <c r="G18" i="11" s="1"/>
  <c r="O24" i="33"/>
  <c r="G20" i="11" s="1"/>
  <c r="M65" i="26"/>
  <c r="E22" i="11" s="1"/>
  <c r="O65" i="26"/>
  <c r="G22" i="11" s="1"/>
  <c r="M74" i="9"/>
  <c r="E21" i="11" s="1"/>
  <c r="M73" i="8"/>
  <c r="E27" i="11" s="1"/>
  <c r="M67" i="24"/>
  <c r="E30" i="11" s="1"/>
  <c r="P67" i="24"/>
  <c r="H30" i="11" s="1"/>
  <c r="O67" i="24"/>
  <c r="G30" i="11" s="1"/>
  <c r="O67" i="29"/>
  <c r="G29" i="11" s="1"/>
  <c r="P67" i="29"/>
  <c r="H29" i="11" s="1"/>
  <c r="M67" i="29"/>
  <c r="E29" i="11" s="1"/>
  <c r="M363" i="20"/>
  <c r="E31" i="11" s="1"/>
  <c r="P363" i="20"/>
  <c r="H31" i="11" s="1"/>
  <c r="O74" i="9"/>
  <c r="G21" i="11" s="1"/>
  <c r="P74" i="9"/>
  <c r="H21" i="11" s="1"/>
  <c r="N24" i="4"/>
  <c r="F19" i="11" s="1"/>
  <c r="Q24" i="4"/>
  <c r="P24" i="4"/>
  <c r="H19" i="11" s="1"/>
  <c r="N65" i="26"/>
  <c r="F22" i="11" s="1"/>
  <c r="P65" i="26"/>
  <c r="H22" i="11" s="1"/>
  <c r="Q65" i="26"/>
  <c r="N74" i="9"/>
  <c r="F21" i="11" s="1"/>
  <c r="M72" i="25"/>
  <c r="E28" i="11" s="1"/>
  <c r="O73" i="8"/>
  <c r="G27" i="11" s="1"/>
  <c r="O72" i="25"/>
  <c r="G28" i="11" s="1"/>
  <c r="Q67" i="24"/>
  <c r="N67" i="24"/>
  <c r="F30" i="11" s="1"/>
  <c r="Q67" i="29"/>
  <c r="N67" i="29"/>
  <c r="F29" i="11" s="1"/>
  <c r="O363" i="20"/>
  <c r="G31" i="11" s="1"/>
  <c r="Q74" i="9"/>
  <c r="M56" i="5"/>
  <c r="E17" i="11" s="1"/>
  <c r="P56" i="5"/>
  <c r="H17" i="11" s="1"/>
  <c r="M24" i="33"/>
  <c r="E20" i="11" s="1"/>
  <c r="P24" i="33"/>
  <c r="H20" i="11" s="1"/>
  <c r="O77" i="6"/>
  <c r="G13" i="11" s="1"/>
  <c r="M77" i="36"/>
  <c r="E14" i="11" s="1"/>
  <c r="P77" i="36"/>
  <c r="H14" i="11" s="1"/>
  <c r="O77" i="36"/>
  <c r="G14" i="11" s="1"/>
  <c r="S89" i="35"/>
  <c r="H16" i="11" s="1"/>
  <c r="P89" i="35"/>
  <c r="E16" i="11" s="1"/>
  <c r="P90" i="3"/>
  <c r="E15" i="11" s="1"/>
  <c r="S90" i="3"/>
  <c r="H15" i="11" s="1"/>
  <c r="N56" i="5"/>
  <c r="F17" i="11" s="1"/>
  <c r="O56" i="5"/>
  <c r="G17" i="11" s="1"/>
  <c r="N24" i="33"/>
  <c r="F20" i="11" s="1"/>
  <c r="Q24" i="33"/>
  <c r="M77" i="6"/>
  <c r="E13" i="11" s="1"/>
  <c r="P77" i="6"/>
  <c r="H13" i="11" s="1"/>
  <c r="N77" i="6"/>
  <c r="F13" i="11" s="1"/>
  <c r="Q77" i="6"/>
  <c r="N77" i="36"/>
  <c r="F14" i="11" s="1"/>
  <c r="Q77" i="36"/>
  <c r="Q89" i="35"/>
  <c r="F16" i="11" s="1"/>
  <c r="Q90" i="3"/>
  <c r="F15" i="11" s="1"/>
  <c r="Q56" i="5"/>
  <c r="I17" i="11" s="1"/>
  <c r="T89" i="35"/>
  <c r="R89" i="35"/>
  <c r="G16" i="11" s="1"/>
  <c r="T90" i="3"/>
  <c r="R90" i="3"/>
  <c r="G15" i="11" s="1"/>
  <c r="P72" i="25"/>
  <c r="H28" i="11" s="1"/>
  <c r="Q72" i="25"/>
  <c r="N72" i="25"/>
  <c r="F28" i="11" s="1"/>
  <c r="P73" i="8"/>
  <c r="H27" i="11" s="1"/>
  <c r="Q73" i="8"/>
  <c r="I27" i="11" s="1"/>
  <c r="N73" i="8"/>
  <c r="F27" i="11" s="1"/>
  <c r="Q363" i="20"/>
  <c r="N363" i="20"/>
  <c r="F31" i="11" s="1"/>
  <c r="S70" i="22"/>
  <c r="H78" i="22"/>
  <c r="J78" i="22" s="1"/>
  <c r="H65" i="35" s="1"/>
  <c r="Q74" i="22"/>
  <c r="R74" i="22" s="1"/>
  <c r="L69" i="22"/>
  <c r="N69" i="22" s="1"/>
  <c r="H79" i="22"/>
  <c r="J79" i="22" s="1"/>
  <c r="K50" i="22"/>
  <c r="M50" i="22" s="1"/>
  <c r="P50" i="22"/>
  <c r="S50" i="22"/>
  <c r="T50" i="22" s="1"/>
  <c r="C66" i="22"/>
  <c r="I66" i="22" s="1"/>
  <c r="H47" i="3"/>
  <c r="J53" i="22"/>
  <c r="P60" i="22"/>
  <c r="D58" i="35"/>
  <c r="E34" i="9"/>
  <c r="S60" i="22"/>
  <c r="T60" i="22" s="1"/>
  <c r="C70" i="22"/>
  <c r="S21" i="22"/>
  <c r="T45" i="22"/>
  <c r="E33" i="26"/>
  <c r="E72" i="27"/>
  <c r="E74" i="27"/>
  <c r="K14" i="22"/>
  <c r="M14" i="22" s="1"/>
  <c r="P58" i="22"/>
  <c r="K58" i="22"/>
  <c r="M58" i="22" s="1"/>
  <c r="S58" i="22"/>
  <c r="T58" i="22" s="1"/>
  <c r="Q58" i="22"/>
  <c r="R58" i="22" s="1"/>
  <c r="M65" i="22"/>
  <c r="R65" i="22"/>
  <c r="J66" i="22"/>
  <c r="E57" i="36"/>
  <c r="P59" i="22"/>
  <c r="O59" i="22" s="1"/>
  <c r="Q66" i="22"/>
  <c r="R66" i="22" s="1"/>
  <c r="S66" i="22"/>
  <c r="K66" i="22"/>
  <c r="M66" i="22" s="1"/>
  <c r="D61" i="35"/>
  <c r="K74" i="22"/>
  <c r="C74" i="22"/>
  <c r="I74" i="22" s="1"/>
  <c r="E27" i="5"/>
  <c r="E18" i="6"/>
  <c r="E17" i="6"/>
  <c r="E30" i="34"/>
  <c r="E28" i="34"/>
  <c r="E31" i="34"/>
  <c r="E29" i="34"/>
  <c r="E27" i="34"/>
  <c r="E26" i="34"/>
  <c r="Q14" i="22"/>
  <c r="R14" i="22" s="1"/>
  <c r="I14" i="22"/>
  <c r="C69" i="22"/>
  <c r="J45" i="22"/>
  <c r="I45" i="22"/>
  <c r="G20" i="22"/>
  <c r="L20" i="22" s="1"/>
  <c r="N20" i="22" s="1"/>
  <c r="F31" i="3"/>
  <c r="E42" i="37"/>
  <c r="E44" i="37"/>
  <c r="E46" i="37"/>
  <c r="E47" i="37" s="1"/>
  <c r="E33" i="9"/>
  <c r="E32" i="9"/>
  <c r="S61" i="22"/>
  <c r="T61" i="22" s="1"/>
  <c r="P61" i="22"/>
  <c r="O61" i="22" s="1"/>
  <c r="E93" i="7"/>
  <c r="E92" i="7"/>
  <c r="S25" i="22"/>
  <c r="Q25" i="22"/>
  <c r="R25" i="22" s="1"/>
  <c r="K25" i="22"/>
  <c r="M25" i="22" s="1"/>
  <c r="C50" i="22"/>
  <c r="Q50" i="22"/>
  <c r="R50" i="22" s="1"/>
  <c r="J58" i="22"/>
  <c r="F71" i="22"/>
  <c r="H71" i="22" s="1"/>
  <c r="J71" i="22" s="1"/>
  <c r="E36" i="34"/>
  <c r="E38" i="34" s="1"/>
  <c r="E35" i="34"/>
  <c r="E45" i="37"/>
  <c r="E38" i="37"/>
  <c r="E39" i="37"/>
  <c r="E33" i="35"/>
  <c r="O62" i="22"/>
  <c r="E27" i="37"/>
  <c r="E28" i="37" s="1"/>
  <c r="E25" i="37"/>
  <c r="E23" i="37"/>
  <c r="E19" i="37"/>
  <c r="E26" i="37"/>
  <c r="E24" i="37"/>
  <c r="E43" i="37"/>
  <c r="E58" i="35"/>
  <c r="I31" i="11" l="1"/>
  <c r="Q7" i="20"/>
  <c r="I16" i="11"/>
  <c r="T7" i="35"/>
  <c r="I20" i="11"/>
  <c r="Q7" i="33"/>
  <c r="I21" i="11"/>
  <c r="Q7" i="9"/>
  <c r="I18" i="11"/>
  <c r="Q7" i="34"/>
  <c r="I15" i="11"/>
  <c r="T7" i="3"/>
  <c r="I14" i="11"/>
  <c r="Q7" i="36"/>
  <c r="I13" i="11"/>
  <c r="Q7" i="6"/>
  <c r="I22" i="11"/>
  <c r="Q7" i="26"/>
  <c r="I23" i="11"/>
  <c r="Q7" i="7"/>
  <c r="I26" i="11"/>
  <c r="U7" i="32"/>
  <c r="E110" i="7"/>
  <c r="I29" i="11"/>
  <c r="Q7" i="29"/>
  <c r="I30" i="11"/>
  <c r="Q7" i="24"/>
  <c r="I25" i="11"/>
  <c r="Q7" i="27"/>
  <c r="E37" i="26"/>
  <c r="E38" i="9"/>
  <c r="K8" i="22"/>
  <c r="M8" i="22" s="1"/>
  <c r="I47" i="22"/>
  <c r="I28" i="11"/>
  <c r="Q7" i="25"/>
  <c r="I57" i="30"/>
  <c r="I56" i="30"/>
  <c r="I54" i="30"/>
  <c r="Q7" i="4"/>
  <c r="I19" i="11"/>
  <c r="E17" i="34"/>
  <c r="E19" i="34" s="1"/>
  <c r="E21" i="34" s="1"/>
  <c r="I37" i="11"/>
  <c r="G37" i="11"/>
  <c r="F37" i="11"/>
  <c r="H37" i="11"/>
  <c r="H26" i="35"/>
  <c r="H22" i="35"/>
  <c r="E37" i="11"/>
  <c r="E30" i="37"/>
  <c r="E38" i="26"/>
  <c r="E51" i="34"/>
  <c r="E52" i="34" s="1"/>
  <c r="E53" i="34" s="1"/>
  <c r="H44" i="35"/>
  <c r="H60" i="35"/>
  <c r="A15" i="11"/>
  <c r="A16" i="11" s="1"/>
  <c r="K1" i="35" s="1"/>
  <c r="H47" i="35"/>
  <c r="H49" i="3"/>
  <c r="I55" i="22"/>
  <c r="E20" i="5"/>
  <c r="E24" i="5" s="1"/>
  <c r="H14" i="3"/>
  <c r="A70" i="6"/>
  <c r="S31" i="22"/>
  <c r="A46" i="36"/>
  <c r="D59" i="35"/>
  <c r="S67" i="22"/>
  <c r="C67" i="22"/>
  <c r="A29" i="6"/>
  <c r="Q67" i="22"/>
  <c r="R67" i="22" s="1"/>
  <c r="S20" i="22"/>
  <c r="G21" i="22"/>
  <c r="F33" i="3" s="1"/>
  <c r="K52" i="22"/>
  <c r="M52" i="22" s="1"/>
  <c r="F72" i="22"/>
  <c r="K20" i="22"/>
  <c r="M20" i="22" s="1"/>
  <c r="A31" i="6"/>
  <c r="L19" i="22"/>
  <c r="N19" i="22" s="1"/>
  <c r="K6" i="22"/>
  <c r="M6" i="22" s="1"/>
  <c r="K27" i="22"/>
  <c r="M27" i="22" s="1"/>
  <c r="S16" i="22"/>
  <c r="T16" i="22"/>
  <c r="P6" i="22"/>
  <c r="H44" i="3"/>
  <c r="H46" i="3"/>
  <c r="S19" i="22"/>
  <c r="T19" i="22"/>
  <c r="Q52" i="22"/>
  <c r="R52" i="22" s="1"/>
  <c r="C6" i="22"/>
  <c r="I6" i="22" s="1"/>
  <c r="T6" i="22"/>
  <c r="A62" i="36"/>
  <c r="G31" i="22"/>
  <c r="H30" i="22"/>
  <c r="J30" i="22" s="1"/>
  <c r="C8" i="22"/>
  <c r="T8" i="22"/>
  <c r="J23" i="22"/>
  <c r="C73" i="22"/>
  <c r="I73" i="22" s="1"/>
  <c r="A33" i="36"/>
  <c r="K48" i="22"/>
  <c r="M48" i="22" s="1"/>
  <c r="Q56" i="22"/>
  <c r="R56" i="22" s="1"/>
  <c r="C52" i="22"/>
  <c r="I52" i="22" s="1"/>
  <c r="H19" i="22"/>
  <c r="J19" i="22" s="1"/>
  <c r="S52" i="22"/>
  <c r="T52" i="22" s="1"/>
  <c r="C10" i="22"/>
  <c r="I10" i="22" s="1"/>
  <c r="T10" i="22"/>
  <c r="P18" i="22"/>
  <c r="T18" i="22"/>
  <c r="T22" i="22" s="1"/>
  <c r="K71" i="22"/>
  <c r="S71" i="22"/>
  <c r="P20" i="22"/>
  <c r="Q12" i="22"/>
  <c r="R12" i="22" s="1"/>
  <c r="T12" i="22"/>
  <c r="Q81" i="22"/>
  <c r="H45" i="35"/>
  <c r="P62" i="22"/>
  <c r="H22" i="3"/>
  <c r="C31" i="22"/>
  <c r="E37" i="6"/>
  <c r="E37" i="36"/>
  <c r="H23" i="35"/>
  <c r="H19" i="35"/>
  <c r="I51" i="22"/>
  <c r="H19" i="3"/>
  <c r="E49" i="37"/>
  <c r="E34" i="6"/>
  <c r="E38" i="6"/>
  <c r="G41" i="22"/>
  <c r="F67" i="3"/>
  <c r="H40" i="22"/>
  <c r="J40" i="22" s="1"/>
  <c r="H67" i="3" s="1"/>
  <c r="E14" i="36"/>
  <c r="H20" i="22"/>
  <c r="J20" i="22" s="1"/>
  <c r="A59" i="36"/>
  <c r="A66" i="36"/>
  <c r="E22" i="22"/>
  <c r="H34" i="3" s="1"/>
  <c r="H35" i="3" s="1"/>
  <c r="I30" i="32"/>
  <c r="A74" i="36"/>
  <c r="E13" i="36"/>
  <c r="S18" i="22"/>
  <c r="I64" i="22"/>
  <c r="H39" i="22"/>
  <c r="J39" i="22" s="1"/>
  <c r="H66" i="3" s="1"/>
  <c r="C46" i="22"/>
  <c r="I56" i="22"/>
  <c r="E62" i="22"/>
  <c r="H34" i="35" s="1"/>
  <c r="H35" i="35" s="1"/>
  <c r="A70" i="36"/>
  <c r="I50" i="22"/>
  <c r="A29" i="36"/>
  <c r="I31" i="32"/>
  <c r="Q20" i="22"/>
  <c r="R20" i="22" s="1"/>
  <c r="A65" i="36"/>
  <c r="E13" i="6"/>
  <c r="Q18" i="22"/>
  <c r="R18" i="22" s="1"/>
  <c r="A73" i="6"/>
  <c r="J13" i="22"/>
  <c r="A56" i="36"/>
  <c r="E24" i="6"/>
  <c r="E39" i="6" s="1"/>
  <c r="E41" i="6" s="1"/>
  <c r="A35" i="36"/>
  <c r="F32" i="3"/>
  <c r="H32" i="3" s="1"/>
  <c r="A68" i="36"/>
  <c r="A31" i="36"/>
  <c r="H80" i="22"/>
  <c r="J80" i="22" s="1"/>
  <c r="H67" i="35" s="1"/>
  <c r="E14" i="6"/>
  <c r="I9" i="22"/>
  <c r="F66" i="3"/>
  <c r="A71" i="36"/>
  <c r="I67" i="22"/>
  <c r="S32" i="22"/>
  <c r="I53" i="22"/>
  <c r="K69" i="22"/>
  <c r="I27" i="32"/>
  <c r="A27" i="36"/>
  <c r="A67" i="36"/>
  <c r="I108" i="30"/>
  <c r="A69" i="36"/>
  <c r="K12" i="22"/>
  <c r="M12" i="22" s="1"/>
  <c r="D60" i="3"/>
  <c r="H31" i="3"/>
  <c r="A39" i="36"/>
  <c r="A72" i="36"/>
  <c r="A73" i="36"/>
  <c r="I19" i="22"/>
  <c r="I23" i="22"/>
  <c r="H18" i="3"/>
  <c r="P56" i="22"/>
  <c r="S56" i="22"/>
  <c r="T56" i="22" s="1"/>
  <c r="K56" i="22"/>
  <c r="M56" i="22" s="1"/>
  <c r="E60" i="3"/>
  <c r="S33" i="22"/>
  <c r="E30" i="36"/>
  <c r="E24" i="36"/>
  <c r="E25" i="36" s="1"/>
  <c r="J69" i="22"/>
  <c r="I69" i="22"/>
  <c r="E18" i="4"/>
  <c r="E12" i="4"/>
  <c r="E21" i="4" s="1"/>
  <c r="E22" i="4" s="1"/>
  <c r="E32" i="36"/>
  <c r="E38" i="36"/>
  <c r="P19" i="22"/>
  <c r="O19" i="22" s="1"/>
  <c r="C63" i="22"/>
  <c r="I63" i="22" s="1"/>
  <c r="L70" i="22"/>
  <c r="N70" i="22" s="1"/>
  <c r="E22" i="5"/>
  <c r="E28" i="36"/>
  <c r="K70" i="22"/>
  <c r="K23" i="22"/>
  <c r="M23" i="22" s="1"/>
  <c r="E59" i="35"/>
  <c r="E37" i="34"/>
  <c r="Q28" i="22"/>
  <c r="R28" i="22" s="1"/>
  <c r="E23" i="34"/>
  <c r="H21" i="22"/>
  <c r="J21" i="22" s="1"/>
  <c r="S69" i="22"/>
  <c r="E19" i="33"/>
  <c r="E12" i="33"/>
  <c r="E21" i="33" s="1"/>
  <c r="E22" i="33" s="1"/>
  <c r="I8" i="22"/>
  <c r="S12" i="22"/>
  <c r="E52" i="5"/>
  <c r="E53" i="5" s="1"/>
  <c r="E54" i="5" s="1"/>
  <c r="I15" i="22"/>
  <c r="E28" i="6"/>
  <c r="L23" i="22"/>
  <c r="N23" i="22" s="1"/>
  <c r="A27" i="6"/>
  <c r="Q71" i="22"/>
  <c r="R71" i="22" s="1"/>
  <c r="D56" i="35"/>
  <c r="H84" i="35" s="1"/>
  <c r="E17" i="5"/>
  <c r="G72" i="22"/>
  <c r="K72" i="22" s="1"/>
  <c r="Q69" i="22"/>
  <c r="R69" i="22" s="1"/>
  <c r="Q23" i="22"/>
  <c r="R23" i="22" s="1"/>
  <c r="I68" i="32"/>
  <c r="S23" i="22"/>
  <c r="H45" i="3"/>
  <c r="L63" i="22"/>
  <c r="N63" i="22" s="1"/>
  <c r="H14" i="35"/>
  <c r="Q19" i="22"/>
  <c r="R19" i="22" s="1"/>
  <c r="Q73" i="22"/>
  <c r="R73" i="22" s="1"/>
  <c r="E48" i="37"/>
  <c r="F66" i="35"/>
  <c r="E16" i="4"/>
  <c r="F67" i="35"/>
  <c r="K19" i="22"/>
  <c r="M19" i="22" s="1"/>
  <c r="E36" i="22"/>
  <c r="P12" i="22"/>
  <c r="Q42" i="22"/>
  <c r="O17" i="22"/>
  <c r="K63" i="22"/>
  <c r="M63" i="22" s="1"/>
  <c r="I49" i="22"/>
  <c r="F56" i="35"/>
  <c r="E57" i="6"/>
  <c r="J63" i="22"/>
  <c r="J68" i="22" s="1"/>
  <c r="O57" i="22"/>
  <c r="O76" i="22" s="1"/>
  <c r="H83" i="35" s="1"/>
  <c r="K73" i="22"/>
  <c r="S72" i="22"/>
  <c r="L71" i="22"/>
  <c r="N71" i="22" s="1"/>
  <c r="H70" i="22"/>
  <c r="J70" i="22" s="1"/>
  <c r="C28" i="22"/>
  <c r="I28" i="22" s="1"/>
  <c r="E18" i="5"/>
  <c r="E19" i="5" s="1"/>
  <c r="E16" i="9"/>
  <c r="E16" i="33"/>
  <c r="F57" i="35"/>
  <c r="H57" i="35" s="1"/>
  <c r="E18" i="9"/>
  <c r="S63" i="22"/>
  <c r="S73" i="22"/>
  <c r="H58" i="35"/>
  <c r="Q70" i="22"/>
  <c r="R70" i="22" s="1"/>
  <c r="A67" i="6"/>
  <c r="H28" i="35"/>
  <c r="H24" i="35"/>
  <c r="H20" i="35"/>
  <c r="H61" i="35"/>
  <c r="H18" i="35"/>
  <c r="H27" i="35"/>
  <c r="H46" i="35"/>
  <c r="H17" i="35"/>
  <c r="H25" i="35"/>
  <c r="H21" i="35"/>
  <c r="H48" i="35"/>
  <c r="Q48" i="22"/>
  <c r="R48" i="22" s="1"/>
  <c r="P48" i="22"/>
  <c r="C48" i="22"/>
  <c r="I48" i="22" s="1"/>
  <c r="H26" i="3"/>
  <c r="H28" i="3"/>
  <c r="H27" i="3"/>
  <c r="H25" i="3"/>
  <c r="H24" i="3"/>
  <c r="H23" i="3"/>
  <c r="H30" i="3"/>
  <c r="H48" i="3"/>
  <c r="E36" i="5"/>
  <c r="T62" i="22"/>
  <c r="I5" i="22"/>
  <c r="I20" i="22"/>
  <c r="G32" i="22"/>
  <c r="H32" i="22" s="1"/>
  <c r="K31" i="22"/>
  <c r="R6" i="22"/>
  <c r="E20" i="34"/>
  <c r="Q7" i="16"/>
  <c r="I12" i="22"/>
  <c r="E39" i="5"/>
  <c r="E59" i="3"/>
  <c r="S62" i="22"/>
  <c r="H1" i="36"/>
  <c r="D62" i="3"/>
  <c r="C35" i="22"/>
  <c r="I35" i="22" s="1"/>
  <c r="S27" i="22"/>
  <c r="C27" i="22"/>
  <c r="I27" i="22" s="1"/>
  <c r="H17" i="3"/>
  <c r="H21" i="3"/>
  <c r="S46" i="22"/>
  <c r="T46" i="22" s="1"/>
  <c r="P46" i="22"/>
  <c r="A46" i="6"/>
  <c r="Q35" i="22"/>
  <c r="R35" i="22" s="1"/>
  <c r="A59" i="6"/>
  <c r="K46" i="22"/>
  <c r="M46" i="22" s="1"/>
  <c r="I25" i="22"/>
  <c r="K35" i="22"/>
  <c r="S10" i="22"/>
  <c r="Q10" i="22"/>
  <c r="R10" i="22" s="1"/>
  <c r="H20" i="3"/>
  <c r="E39" i="34"/>
  <c r="E40" i="34"/>
  <c r="E41" i="34" s="1"/>
  <c r="E42" i="34" s="1"/>
  <c r="H66" i="35"/>
  <c r="U7" i="30"/>
  <c r="H41" i="22"/>
  <c r="J41" i="22" s="1"/>
  <c r="H68" i="3" s="1"/>
  <c r="F68" i="3"/>
  <c r="E18" i="36"/>
  <c r="H31" i="22"/>
  <c r="Q31" i="22"/>
  <c r="R31" i="22" s="1"/>
  <c r="I26" i="22"/>
  <c r="J26" i="22"/>
  <c r="J29" i="22" s="1"/>
  <c r="I11" i="22"/>
  <c r="J11" i="22"/>
  <c r="J10" i="22"/>
  <c r="P16" i="22"/>
  <c r="K16" i="22"/>
  <c r="E17" i="22"/>
  <c r="H63" i="3" s="1"/>
  <c r="K30" i="22"/>
  <c r="S30" i="22"/>
  <c r="D57" i="3"/>
  <c r="H85" i="3" s="1"/>
  <c r="Q30" i="22"/>
  <c r="R30" i="22" s="1"/>
  <c r="C34" i="22"/>
  <c r="I34" i="22" s="1"/>
  <c r="S34" i="22"/>
  <c r="Q34" i="22"/>
  <c r="R34" i="22" s="1"/>
  <c r="K34" i="22"/>
  <c r="A68" i="6"/>
  <c r="A72" i="6"/>
  <c r="A66" i="6"/>
  <c r="A71" i="6"/>
  <c r="A62" i="6"/>
  <c r="A65" i="6"/>
  <c r="A39" i="6"/>
  <c r="A35" i="6"/>
  <c r="N46" i="22"/>
  <c r="N57" i="22" s="1"/>
  <c r="L57" i="22"/>
  <c r="S54" i="22"/>
  <c r="T54" i="22" s="1"/>
  <c r="Q54" i="22"/>
  <c r="C54" i="22"/>
  <c r="I54" i="22" s="1"/>
  <c r="P54" i="22"/>
  <c r="K54" i="22"/>
  <c r="E33" i="3"/>
  <c r="P21" i="22"/>
  <c r="G60" i="22"/>
  <c r="F31" i="35"/>
  <c r="Q59" i="22"/>
  <c r="E32" i="5"/>
  <c r="E30" i="5"/>
  <c r="E29" i="5"/>
  <c r="E29" i="37"/>
  <c r="L31" i="22"/>
  <c r="E22" i="34"/>
  <c r="L21" i="22"/>
  <c r="N21" i="22" s="1"/>
  <c r="J9" i="22"/>
  <c r="K21" i="22"/>
  <c r="Q21" i="22"/>
  <c r="R21" i="22" s="1"/>
  <c r="E19" i="4"/>
  <c r="E18" i="34"/>
  <c r="E31" i="5"/>
  <c r="E28" i="5"/>
  <c r="K59" i="22"/>
  <c r="E57" i="22"/>
  <c r="H62" i="35" s="1"/>
  <c r="A33" i="6"/>
  <c r="S22" i="22"/>
  <c r="I24" i="22"/>
  <c r="I29" i="22" s="1"/>
  <c r="A56" i="6"/>
  <c r="A74" i="6"/>
  <c r="I18" i="22"/>
  <c r="A69" i="6"/>
  <c r="D61" i="3"/>
  <c r="I16" i="22"/>
  <c r="E39" i="36"/>
  <c r="F58" i="3"/>
  <c r="C30" i="22"/>
  <c r="N8" i="22"/>
  <c r="N17" i="22" s="1"/>
  <c r="L17" i="22"/>
  <c r="I7" i="22"/>
  <c r="J7" i="22"/>
  <c r="E32" i="26"/>
  <c r="E34" i="26"/>
  <c r="E33" i="8"/>
  <c r="E32" i="8"/>
  <c r="J46" i="22"/>
  <c r="I46" i="22"/>
  <c r="C71" i="22"/>
  <c r="I71" i="22" s="1"/>
  <c r="E75" i="22"/>
  <c r="H30" i="35"/>
  <c r="E31" i="35"/>
  <c r="L59" i="22"/>
  <c r="H59" i="22"/>
  <c r="P22" i="22" l="1"/>
  <c r="O21" i="22"/>
  <c r="O22" i="22" s="1"/>
  <c r="O37" i="22" s="1"/>
  <c r="H84" i="3" s="1"/>
  <c r="J22" i="22"/>
  <c r="I68" i="22"/>
  <c r="H57" i="3"/>
  <c r="E23" i="5"/>
  <c r="H68" i="35"/>
  <c r="E21" i="5"/>
  <c r="B16" i="11"/>
  <c r="B15" i="11"/>
  <c r="A17" i="11"/>
  <c r="H1" i="5" s="1"/>
  <c r="K1" i="3"/>
  <c r="H33" i="3"/>
  <c r="H36" i="3" s="1"/>
  <c r="H40" i="3" s="1"/>
  <c r="J81" i="22"/>
  <c r="E26" i="36"/>
  <c r="M36" i="22"/>
  <c r="P17" i="22"/>
  <c r="P37" i="22" s="1"/>
  <c r="K32" i="22"/>
  <c r="G33" i="22"/>
  <c r="E45" i="6"/>
  <c r="S75" i="22"/>
  <c r="E37" i="22"/>
  <c r="E59" i="36" s="1"/>
  <c r="E61" i="36" s="1"/>
  <c r="E60" i="36" s="1"/>
  <c r="E62" i="6"/>
  <c r="I70" i="22"/>
  <c r="I30" i="22"/>
  <c r="R22" i="22"/>
  <c r="N22" i="22"/>
  <c r="T17" i="22"/>
  <c r="T37" i="22" s="1"/>
  <c r="E71" i="6" s="1"/>
  <c r="M75" i="22"/>
  <c r="K75" i="22"/>
  <c r="E43" i="6"/>
  <c r="E26" i="6"/>
  <c r="H69" i="3"/>
  <c r="H72" i="3" s="1"/>
  <c r="E40" i="6"/>
  <c r="H50" i="3"/>
  <c r="H53" i="3" s="1"/>
  <c r="I21" i="22"/>
  <c r="I22" i="22" s="1"/>
  <c r="E44" i="6"/>
  <c r="E42" i="6"/>
  <c r="E25" i="6"/>
  <c r="I57" i="22"/>
  <c r="J32" i="22"/>
  <c r="H59" i="3" s="1"/>
  <c r="I32" i="22"/>
  <c r="F59" i="35"/>
  <c r="H59" i="35" s="1"/>
  <c r="H72" i="22"/>
  <c r="Q72" i="22"/>
  <c r="L72" i="22"/>
  <c r="T57" i="22"/>
  <c r="T76" i="22" s="1"/>
  <c r="H56" i="35"/>
  <c r="H49" i="35"/>
  <c r="H50" i="35" s="1"/>
  <c r="E41" i="5"/>
  <c r="E42" i="5" s="1"/>
  <c r="E43" i="5" s="1"/>
  <c r="E40" i="5"/>
  <c r="J42" i="22"/>
  <c r="P57" i="22"/>
  <c r="P76" i="22" s="1"/>
  <c r="H12" i="35" s="1"/>
  <c r="S36" i="22"/>
  <c r="L32" i="22"/>
  <c r="N32" i="22" s="1"/>
  <c r="F59" i="3"/>
  <c r="Q32" i="22"/>
  <c r="R32" i="22" s="1"/>
  <c r="R17" i="22"/>
  <c r="S17" i="22"/>
  <c r="S57" i="22"/>
  <c r="Q7" i="5"/>
  <c r="Q17" i="22"/>
  <c r="N59" i="22"/>
  <c r="E41" i="36"/>
  <c r="E45" i="36"/>
  <c r="E40" i="36"/>
  <c r="E42" i="36"/>
  <c r="E44" i="36"/>
  <c r="E43" i="36"/>
  <c r="H33" i="22"/>
  <c r="F60" i="3"/>
  <c r="K33" i="22"/>
  <c r="Q33" i="22"/>
  <c r="L33" i="22"/>
  <c r="N33" i="22" s="1"/>
  <c r="Q7" i="8"/>
  <c r="Q8" i="15"/>
  <c r="J57" i="22"/>
  <c r="Q22" i="22"/>
  <c r="R59" i="22"/>
  <c r="F32" i="35"/>
  <c r="H32" i="35" s="1"/>
  <c r="G61" i="22"/>
  <c r="L60" i="22"/>
  <c r="N60" i="22" s="1"/>
  <c r="H60" i="22"/>
  <c r="K60" i="22"/>
  <c r="M60" i="22" s="1"/>
  <c r="Q60" i="22"/>
  <c r="R60" i="22" s="1"/>
  <c r="R54" i="22"/>
  <c r="R57" i="22" s="1"/>
  <c r="Q57" i="22"/>
  <c r="J59" i="22"/>
  <c r="I59" i="22"/>
  <c r="E76" i="22"/>
  <c r="J17" i="22"/>
  <c r="I17" i="22"/>
  <c r="M59" i="22"/>
  <c r="M21" i="22"/>
  <c r="M22" i="22" s="1"/>
  <c r="K22" i="22"/>
  <c r="P7" i="37"/>
  <c r="N31" i="22"/>
  <c r="L22" i="22"/>
  <c r="H31" i="35"/>
  <c r="M54" i="22"/>
  <c r="M57" i="22" s="1"/>
  <c r="K57" i="22"/>
  <c r="M16" i="22"/>
  <c r="M17" i="22" s="1"/>
  <c r="K17" i="22"/>
  <c r="J31" i="22"/>
  <c r="H58" i="3" s="1"/>
  <c r="I31" i="22"/>
  <c r="B17" i="11"/>
  <c r="H69" i="35"/>
  <c r="H70" i="35"/>
  <c r="H71" i="35"/>
  <c r="H73" i="35"/>
  <c r="H74" i="35"/>
  <c r="H72" i="35"/>
  <c r="L75" i="22" l="1"/>
  <c r="N72" i="22"/>
  <c r="N75" i="22" s="1"/>
  <c r="H13" i="3"/>
  <c r="A18" i="11"/>
  <c r="A19" i="11" s="1"/>
  <c r="S76" i="22"/>
  <c r="E59" i="6"/>
  <c r="E61" i="6" s="1"/>
  <c r="E60" i="6" s="1"/>
  <c r="H52" i="3"/>
  <c r="K36" i="22"/>
  <c r="H54" i="3"/>
  <c r="H70" i="3"/>
  <c r="H75" i="3"/>
  <c r="H71" i="3"/>
  <c r="H74" i="3"/>
  <c r="E71" i="36"/>
  <c r="H73" i="3"/>
  <c r="H51" i="3"/>
  <c r="H55" i="3"/>
  <c r="N36" i="22"/>
  <c r="N37" i="22" s="1"/>
  <c r="H76" i="3" s="1"/>
  <c r="H80" i="3" s="1"/>
  <c r="R72" i="22"/>
  <c r="R75" i="22" s="1"/>
  <c r="Q75" i="22"/>
  <c r="J72" i="22"/>
  <c r="J75" i="22" s="1"/>
  <c r="I72" i="22"/>
  <c r="I75" i="22" s="1"/>
  <c r="H51" i="35"/>
  <c r="H53" i="35"/>
  <c r="H54" i="35"/>
  <c r="H52" i="35"/>
  <c r="H37" i="3"/>
  <c r="H42" i="3" s="1"/>
  <c r="H38" i="3"/>
  <c r="S37" i="22"/>
  <c r="H41" i="3"/>
  <c r="H39" i="3"/>
  <c r="K37" i="22"/>
  <c r="E65" i="6" s="1"/>
  <c r="M37" i="22"/>
  <c r="J60" i="22"/>
  <c r="I60" i="22"/>
  <c r="L61" i="22"/>
  <c r="H61" i="22"/>
  <c r="F33" i="35"/>
  <c r="H33" i="35" s="1"/>
  <c r="H36" i="35" s="1"/>
  <c r="K61" i="22"/>
  <c r="Q61" i="22"/>
  <c r="R61" i="22" s="1"/>
  <c r="I33" i="22"/>
  <c r="J33" i="22"/>
  <c r="J36" i="22" s="1"/>
  <c r="H12" i="3"/>
  <c r="L36" i="22"/>
  <c r="L37" i="22" s="1"/>
  <c r="I38" i="11"/>
  <c r="R62" i="22"/>
  <c r="R33" i="22"/>
  <c r="R36" i="22" s="1"/>
  <c r="R37" i="22" s="1"/>
  <c r="Q36" i="22"/>
  <c r="Q37" i="22" s="1"/>
  <c r="I36" i="22" l="1"/>
  <c r="I37" i="22" s="1"/>
  <c r="H1" i="34"/>
  <c r="H83" i="3"/>
  <c r="B18" i="11"/>
  <c r="H82" i="3"/>
  <c r="H77" i="3"/>
  <c r="H78" i="3"/>
  <c r="H79" i="3"/>
  <c r="H81" i="3"/>
  <c r="R76" i="22"/>
  <c r="E70" i="6"/>
  <c r="E70" i="36"/>
  <c r="E65" i="36"/>
  <c r="H37" i="35"/>
  <c r="H42" i="35" s="1"/>
  <c r="H39" i="35"/>
  <c r="H41" i="35"/>
  <c r="H40" i="35"/>
  <c r="H38" i="35"/>
  <c r="E67" i="6"/>
  <c r="E68" i="6"/>
  <c r="E67" i="36"/>
  <c r="E68" i="36"/>
  <c r="E66" i="36"/>
  <c r="E66" i="6"/>
  <c r="N61" i="22"/>
  <c r="N62" i="22" s="1"/>
  <c r="N76" i="22" s="1"/>
  <c r="H75" i="35" s="1"/>
  <c r="L62" i="22"/>
  <c r="L76" i="22" s="1"/>
  <c r="E69" i="6"/>
  <c r="E69" i="36"/>
  <c r="I40" i="11"/>
  <c r="H60" i="3"/>
  <c r="J37" i="22"/>
  <c r="H87" i="3" s="1"/>
  <c r="H88" i="3" s="1"/>
  <c r="Q62" i="22"/>
  <c r="Q76" i="22" s="1"/>
  <c r="M61" i="22"/>
  <c r="M62" i="22" s="1"/>
  <c r="M76" i="22" s="1"/>
  <c r="K62" i="22"/>
  <c r="K76" i="22" s="1"/>
  <c r="J61" i="22"/>
  <c r="I61" i="22"/>
  <c r="I62" i="22" s="1"/>
  <c r="E46" i="6"/>
  <c r="B19" i="11"/>
  <c r="A20" i="11"/>
  <c r="H1" i="4"/>
  <c r="I76" i="22" l="1"/>
  <c r="H13" i="35"/>
  <c r="I41" i="11"/>
  <c r="I42" i="11" s="1"/>
  <c r="I43" i="11" s="1"/>
  <c r="D13" i="21" s="1"/>
  <c r="D14" i="21" s="1"/>
  <c r="E63" i="6"/>
  <c r="E64" i="6"/>
  <c r="E46" i="36"/>
  <c r="E62" i="36"/>
  <c r="H1" i="33"/>
  <c r="A21" i="11"/>
  <c r="B20" i="11"/>
  <c r="E52" i="6"/>
  <c r="E48" i="6"/>
  <c r="E53" i="6"/>
  <c r="E54" i="6"/>
  <c r="E50" i="6"/>
  <c r="E49" i="6"/>
  <c r="E47" i="6"/>
  <c r="E55" i="6"/>
  <c r="E51" i="6"/>
  <c r="J62" i="22"/>
  <c r="J76" i="22" s="1"/>
  <c r="H86" i="35" s="1"/>
  <c r="H87" i="35" s="1"/>
  <c r="H81" i="35"/>
  <c r="H77" i="35"/>
  <c r="H78" i="35"/>
  <c r="H76" i="35"/>
  <c r="H82" i="35"/>
  <c r="H80" i="35"/>
  <c r="H79" i="35"/>
  <c r="D15" i="21" l="1"/>
  <c r="D16" i="21"/>
  <c r="A22" i="11"/>
  <c r="H1" i="9"/>
  <c r="B21" i="11"/>
  <c r="E63" i="36"/>
  <c r="E64" i="36"/>
  <c r="E52" i="36"/>
  <c r="E50" i="36"/>
  <c r="E51" i="36"/>
  <c r="E54" i="36"/>
  <c r="E53" i="36"/>
  <c r="E55" i="36"/>
  <c r="E49" i="36"/>
  <c r="E48" i="36"/>
  <c r="E47" i="36"/>
  <c r="H1" i="26" l="1"/>
  <c r="A23" i="11"/>
  <c r="B22" i="11"/>
  <c r="B23" i="11" l="1"/>
  <c r="H1" i="7" s="1"/>
  <c r="A24" i="11"/>
  <c r="A25" i="11" l="1"/>
  <c r="B24" i="11"/>
  <c r="L1" i="30" s="1"/>
  <c r="B25" i="11" l="1"/>
  <c r="H1" i="27" s="1"/>
  <c r="A26" i="11"/>
  <c r="B26" i="11" l="1"/>
  <c r="L1" i="32" s="1"/>
  <c r="A27" i="11"/>
  <c r="B27" i="11" l="1"/>
  <c r="H1" i="8"/>
  <c r="A28" i="11"/>
  <c r="H1" i="25" l="1"/>
  <c r="A29" i="11"/>
  <c r="B28" i="11"/>
  <c r="B29" i="11" l="1"/>
  <c r="H1" i="29" s="1"/>
  <c r="A30" i="11"/>
  <c r="B30" i="11" l="1"/>
  <c r="H1" i="24" s="1"/>
  <c r="A31" i="11"/>
  <c r="B31" i="11" l="1"/>
  <c r="G1" i="20" s="1"/>
  <c r="A32" i="11"/>
  <c r="B32" i="11" l="1"/>
  <c r="H1" i="15"/>
  <c r="A33" i="11"/>
  <c r="A34" i="11" l="1"/>
  <c r="B33" i="11"/>
  <c r="H1" i="16"/>
  <c r="B34" i="11" l="1"/>
  <c r="H1" i="37" s="1"/>
  <c r="A35" i="11"/>
  <c r="B35" i="11" l="1"/>
  <c r="G1" i="38" s="1"/>
  <c r="A36" i="11"/>
  <c r="B36" i="11" s="1"/>
  <c r="G1" i="39" s="1"/>
</calcChain>
</file>

<file path=xl/sharedStrings.xml><?xml version="1.0" encoding="utf-8"?>
<sst xmlns="http://schemas.openxmlformats.org/spreadsheetml/2006/main" count="4342" uniqueCount="965">
  <si>
    <t>L2</t>
  </si>
  <si>
    <t>L3</t>
  </si>
  <si>
    <t>D1</t>
  </si>
  <si>
    <t>D2</t>
  </si>
  <si>
    <t>D3</t>
  </si>
  <si>
    <t>h</t>
  </si>
  <si>
    <t>Lokālā tāme Nr.:</t>
  </si>
  <si>
    <t>Nr.p.k.</t>
  </si>
  <si>
    <t>Kods</t>
  </si>
  <si>
    <t>Materiāla un darba nosaukums, izmērs (mm)</t>
  </si>
  <si>
    <t>Apjomi</t>
  </si>
  <si>
    <t>Kopējās izmaksas, Ls</t>
  </si>
  <si>
    <t>Laika norma, c/st</t>
  </si>
  <si>
    <t>Darbietilpība, c/st</t>
  </si>
  <si>
    <t>līg.c.</t>
  </si>
  <si>
    <t>Esošo skārda āra palodžu demontāža, b=0,25</t>
  </si>
  <si>
    <t>m</t>
  </si>
  <si>
    <t>m²</t>
  </si>
  <si>
    <t>montāžas skavas</t>
  </si>
  <si>
    <t>dibeļi</t>
  </si>
  <si>
    <t>montāžas puta</t>
  </si>
  <si>
    <t>skrūves</t>
  </si>
  <si>
    <t>palodzes profils</t>
  </si>
  <si>
    <t>kg</t>
  </si>
  <si>
    <t>Līmlente</t>
  </si>
  <si>
    <t>Gružu izvākšanam, grīdas attīrīšana</t>
  </si>
  <si>
    <t>m³</t>
  </si>
  <si>
    <t>Dzelzsbetona pārsegumu notīrīšana, izlīdzināšana, sagatavošana siltināšanai</t>
  </si>
  <si>
    <t xml:space="preserve">Grunts </t>
  </si>
  <si>
    <t xml:space="preserve"> Siltumizolācija sienām</t>
  </si>
  <si>
    <t>Būvgružu savākšana un aizvešana</t>
  </si>
  <si>
    <t>Gružu konteiners</t>
  </si>
  <si>
    <t>gb</t>
  </si>
  <si>
    <t>Cokola apmetuma nokalšana</t>
  </si>
  <si>
    <t>Cokola sienas sagatavošana siltināšanai - virsmu notīrīšana un gruntēšana,</t>
  </si>
  <si>
    <t>Jaunas šķidrās hidroizolācijas uzklāšana  visā siltinājuma augstumā</t>
  </si>
  <si>
    <t xml:space="preserve">hidroizolācija </t>
  </si>
  <si>
    <t>Atrakto vietu aizbēršana ar minerālgrunti</t>
  </si>
  <si>
    <t>Paligmateriāli</t>
  </si>
  <si>
    <t xml:space="preserve">Krāsa </t>
  </si>
  <si>
    <t>Jaunu bruģakmens lietusūdens novadīšanas apmaļu ierīkošana:</t>
  </si>
  <si>
    <t>Metāla nožogojuma montāža, h=2,0 m</t>
  </si>
  <si>
    <t>Žogs 3,5×2m</t>
  </si>
  <si>
    <t>Pēda</t>
  </si>
  <si>
    <t xml:space="preserve">Sastatņu montēšana 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</si>
  <si>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</si>
  <si>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</si>
  <si>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</si>
  <si>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</si>
  <si>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</si>
  <si>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Metāla karoga kāta turētāja montāža</t>
  </si>
  <si>
    <t>Mērvienība</t>
  </si>
  <si>
    <t>l</t>
  </si>
  <si>
    <t>Betona apmales demontāža</t>
  </si>
  <si>
    <t>Kopā:</t>
  </si>
  <si>
    <t>Kopsavilkuma aprēķini pa darbu vai konstruktīvo elementu veidiem N.1.</t>
  </si>
  <si>
    <t>Darba ietilpība, (c/h)</t>
  </si>
  <si>
    <t>Tai skaitā</t>
  </si>
  <si>
    <t>Virsizdevumi:</t>
  </si>
  <si>
    <t>Peļņa:</t>
  </si>
  <si>
    <t>kopā</t>
  </si>
  <si>
    <t>PVN:</t>
  </si>
  <si>
    <t>Pavisam kopā:</t>
  </si>
  <si>
    <t>L6</t>
  </si>
  <si>
    <t xml:space="preserve">Grunts rakšanas darbi 1,2m dziļumā,1000 mm platumā </t>
  </si>
  <si>
    <r>
      <t>m</t>
    </r>
    <r>
      <rPr>
        <sz val="8"/>
        <rFont val="Calibri"/>
        <family val="2"/>
        <charset val="186"/>
      </rPr>
      <t>²</t>
    </r>
  </si>
  <si>
    <t>L7</t>
  </si>
  <si>
    <t>Vienas vienības cena Ls/mv</t>
  </si>
  <si>
    <t>k-ts</t>
  </si>
  <si>
    <t>Ventilācijas sistēma</t>
  </si>
  <si>
    <t>Esošo ventilācijas kanālu (skursteņu, cuku) apskate, tīrīšana</t>
  </si>
  <si>
    <t>Demontējamas ūdensvada caurule (t.sk.- cauruļvadi,  stiprinājumi, izolācija) /apjomi doti attiecīgi izbūvējamiem apjomiem un var nesakrist ar reālo apjomu daudzumu/</t>
  </si>
  <si>
    <t>Jaunizbūvējamu ūdensvadu ievadu pievienošana pie esošajiem dzīvokļu ūdensapgādes tīkliem /precizēt izbūves gaitā/</t>
  </si>
  <si>
    <t>precizēt</t>
  </si>
  <si>
    <t>Cauruļvadu stiprinājumi ar izolāciju cauruļvadu nostiprināšanai</t>
  </si>
  <si>
    <t>Dn 25</t>
  </si>
  <si>
    <t>Dn 20</t>
  </si>
  <si>
    <t xml:space="preserve">Iesitamais enkurs stiprinājumiem </t>
  </si>
  <si>
    <t>M6</t>
  </si>
  <si>
    <t>Vītņstienis cauruļvadu stiprinājumiem</t>
  </si>
  <si>
    <t>D25 × ½" × D25</t>
  </si>
  <si>
    <t>Izbūvētās ūdensvada sistēmas pārbaude un nodošana</t>
  </si>
  <si>
    <t>Pārbaudīja:</t>
  </si>
  <si>
    <t>Aukstā ūdensapgāde.</t>
  </si>
  <si>
    <t>Dn20÷50</t>
  </si>
  <si>
    <t>Ø25×2,3mm</t>
  </si>
  <si>
    <t>Dn28×9mm</t>
  </si>
  <si>
    <t>Dn22×9mm</t>
  </si>
  <si>
    <t>PPR ventilis aukstajam ūdenim</t>
  </si>
  <si>
    <t xml:space="preserve">D25  </t>
  </si>
  <si>
    <t>Sadzīves kanalizācija.</t>
  </si>
  <si>
    <t>Demontējamā kanalizācija (t.sk.- cauruļvadi,  stiprinājumi) /apjomi doti attiecīgi izbūvējamiem apjomiem un var nesakrist ar reālo apjomu daudzumu/</t>
  </si>
  <si>
    <t>Dn100</t>
  </si>
  <si>
    <t>Iekšdarbu kanalizācijas caurule</t>
  </si>
  <si>
    <t>Dn114×9mm</t>
  </si>
  <si>
    <t>Ø110-45°</t>
  </si>
  <si>
    <t>Kanalizācijas sistēmas iekšdarbu līkums</t>
  </si>
  <si>
    <t>Ø75-45°</t>
  </si>
  <si>
    <t>Kanalizācijas sistēmas iekšdarbu revīzija</t>
  </si>
  <si>
    <t>Ø110</t>
  </si>
  <si>
    <t>Ø75</t>
  </si>
  <si>
    <t>Aizbāznis ar uzskrūvējamu vāku</t>
  </si>
  <si>
    <t>Dn 110</t>
  </si>
  <si>
    <t>Dn 75</t>
  </si>
  <si>
    <t>Iesitamais enkurs stiprinājumiem</t>
  </si>
  <si>
    <t>Dzīvokļu kanalizācijas tīklu pievienojums pie jaunizbūvētā stāvvada</t>
  </si>
  <si>
    <t>d100  &gt; Ø110</t>
  </si>
  <si>
    <t>d50 &gt; Ø50</t>
  </si>
  <si>
    <t>AVK daļa</t>
  </si>
  <si>
    <t xml:space="preserve">Celtniecības remontdarbi  </t>
  </si>
  <si>
    <t>SILTINĀJUMS</t>
  </si>
  <si>
    <t>Marka</t>
  </si>
  <si>
    <t>Sastāvs</t>
  </si>
  <si>
    <t>Vienība</t>
  </si>
  <si>
    <t>Daudzums</t>
  </si>
  <si>
    <t>S3 Pamatu sienu siltinājums</t>
  </si>
  <si>
    <t>P2  Bēniņu pārseguma siltinājums</t>
  </si>
  <si>
    <t>tips</t>
  </si>
  <si>
    <t>skaits</t>
  </si>
  <si>
    <t>Loga izmērs, m</t>
  </si>
  <si>
    <t>Logu platība m²</t>
  </si>
  <si>
    <t>iekšējās</t>
  </si>
  <si>
    <t>ārējās</t>
  </si>
  <si>
    <t>hidroizolācijas</t>
  </si>
  <si>
    <t>difūzijas</t>
  </si>
  <si>
    <t>Būves nosaukums:  Dzīvojamās māja</t>
  </si>
  <si>
    <t>Objekta nosaukums: Dzīvojamās ēkas fasādes vienkāršota atjaunošana</t>
  </si>
  <si>
    <t>Būvniecības koptāme</t>
  </si>
  <si>
    <t>Tāme sastādīta  2016.gada augustā</t>
  </si>
  <si>
    <t>Objekta nosaukums</t>
  </si>
  <si>
    <t>Objekta izmaksas, Euro</t>
  </si>
  <si>
    <t>sertifikāta Nr.</t>
  </si>
  <si>
    <t>Būvdarbu nosaukums</t>
  </si>
  <si>
    <t>Vienības izmaksas</t>
  </si>
  <si>
    <t>Kopā uz visu apjomu</t>
  </si>
  <si>
    <t>Laika norma,
c/h</t>
  </si>
  <si>
    <r>
      <t xml:space="preserve">Darba apmaksas likme, </t>
    </r>
    <r>
      <rPr>
        <i/>
        <sz val="8"/>
        <rFont val="Arial"/>
        <family val="2"/>
        <charset val="186"/>
      </rPr>
      <t>euro</t>
    </r>
    <r>
      <rPr>
        <sz val="8"/>
        <rFont val="Arial"/>
        <family val="2"/>
        <charset val="186"/>
      </rPr>
      <t>/h</t>
    </r>
  </si>
  <si>
    <r>
      <t xml:space="preserve">Darba alga,
</t>
    </r>
    <r>
      <rPr>
        <i/>
        <sz val="8"/>
        <rFont val="Arial"/>
        <family val="2"/>
        <charset val="186"/>
      </rPr>
      <t>euro</t>
    </r>
  </si>
  <si>
    <r>
      <t xml:space="preserve">Materiāli,
</t>
    </r>
    <r>
      <rPr>
        <i/>
        <sz val="8"/>
        <rFont val="Arial"/>
        <family val="2"/>
        <charset val="186"/>
      </rPr>
      <t>euro</t>
    </r>
  </si>
  <si>
    <r>
      <t xml:space="preserve">Mehānismi,
</t>
    </r>
    <r>
      <rPr>
        <i/>
        <sz val="8"/>
        <rFont val="Arial"/>
        <family val="2"/>
        <charset val="186"/>
      </rPr>
      <t>euro</t>
    </r>
  </si>
  <si>
    <r>
      <t xml:space="preserve">Summa,
</t>
    </r>
    <r>
      <rPr>
        <i/>
        <sz val="8"/>
        <rFont val="Arial"/>
        <family val="2"/>
        <charset val="186"/>
      </rPr>
      <t>euro</t>
    </r>
  </si>
  <si>
    <t>Darbietilpība,
c/h</t>
  </si>
  <si>
    <r>
      <rPr>
        <b/>
        <sz val="8"/>
        <rFont val="Arial"/>
        <family val="2"/>
        <charset val="186"/>
      </rPr>
      <t xml:space="preserve">AR </t>
    </r>
    <r>
      <rPr>
        <sz val="8"/>
        <rFont val="Arial"/>
        <family val="2"/>
        <charset val="186"/>
      </rPr>
      <t xml:space="preserve">un </t>
    </r>
    <r>
      <rPr>
        <b/>
        <sz val="8"/>
        <rFont val="Arial"/>
        <family val="2"/>
        <charset val="186"/>
      </rPr>
      <t>BK</t>
    </r>
  </si>
  <si>
    <t>daļas rasējumiem</t>
  </si>
  <si>
    <t>Tāmes izmaksas euro:</t>
  </si>
  <si>
    <t>(paraksts un tā atšifrējums, datums)</t>
  </si>
  <si>
    <t>Tāme sastādīta 2017. gada .30.novembrī</t>
  </si>
  <si>
    <t>Pārbaudīja</t>
  </si>
  <si>
    <t>Sertifikāta Nr.</t>
  </si>
  <si>
    <t>Par kopējo summu, euro</t>
  </si>
  <si>
    <t>Kopējā darbietilpība, c/h</t>
  </si>
  <si>
    <t>Kods tāmes Nr.</t>
  </si>
  <si>
    <t>Būvdarbu veids vai konstruktīvā elementa nosaukums</t>
  </si>
  <si>
    <t>Tāmes izmaksas</t>
  </si>
  <si>
    <t>Darba alga</t>
  </si>
  <si>
    <t>būvizstrādājumi</t>
  </si>
  <si>
    <t>Mehānismi</t>
  </si>
  <si>
    <t>(Darba veids vai konstruktīvā elementa nosaukums)</t>
  </si>
  <si>
    <t>AVK</t>
  </si>
  <si>
    <t>UK</t>
  </si>
  <si>
    <t>Perimetrs lentei, m</t>
  </si>
  <si>
    <t>aiļu apdares m², ailes platums</t>
  </si>
  <si>
    <t>palodzes, m</t>
  </si>
  <si>
    <t>Profili, m</t>
  </si>
  <si>
    <t>esošie PVC</t>
  </si>
  <si>
    <t>maināmie koka</t>
  </si>
  <si>
    <t>Signāllentes novilkšana.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</si>
  <si>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</si>
  <si>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</si>
  <si>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</si>
  <si>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Grunts Cerasit CT 17 vai ekvivalents</t>
  </si>
  <si>
    <t>Līmjava Ceresit CT 190  vai ekvivalents</t>
  </si>
  <si>
    <t>1. meh. klases apmetuma izveidošana: 1 kārtas armējošās javas un armējošā stikla šķiedras sieta uzklāšana (ekvivalents Ceresit CT 190), zemapmetuma grunts uzklāšana (ekvivalents Ceresit CT 16), dekoratīvā gatavā silikona apmetuma ar tonējumu uznešana (ekvivalents Ceresit CT174).</t>
  </si>
  <si>
    <t>Līmjava Ceresit CT vai ekvivalents 190</t>
  </si>
  <si>
    <t>Grunts Ceresit CT 16 vai ekvivalents</t>
  </si>
  <si>
    <t>Līmjava Ceresit CT 190 vai ekvivalents</t>
  </si>
  <si>
    <t>Līmjava Ceresit CT180 vai ekvivalents</t>
  </si>
  <si>
    <t>Logu un durvju aiļu ārējo stūru armēšana ar sietu papildus sietu 0,3m platumā no ailes un ailē (ekviv. Valmieras E-stikls) stiepes izturība &gt;200N/5cm, Struktūras stabilitāte &gt;22%, Atbilst REACH , sieta acojuma lielums 4×4mm.</t>
  </si>
  <si>
    <t>Stūra profils ar armējumu visā augstumā visos ēkas stūros</t>
  </si>
  <si>
    <t>Tiešās izmaksas kopā, t. sk. darba devēja sociālais nodoklis (%)</t>
  </si>
  <si>
    <t>L</t>
  </si>
  <si>
    <t>1.gb.</t>
  </si>
  <si>
    <t>L4</t>
  </si>
  <si>
    <t>L5</t>
  </si>
  <si>
    <t>L1</t>
  </si>
  <si>
    <t>L8</t>
  </si>
  <si>
    <t>L9</t>
  </si>
  <si>
    <t>D4</t>
  </si>
  <si>
    <t>D5</t>
  </si>
  <si>
    <t>daudzums</t>
  </si>
  <si>
    <t>Alumīnija konstrukcijas stiklotas pusotrviru ārdurvis ar siltinājumu, rokturi, eņģēm, ar pašaizvēršanās mehānismu, speciālām  blīvgumijām un piedurlīstēm, vienpuktu slēdzeni un mehānisko koda atslēgu. Siltuma caurlaidības koef. Uw:stikla paketei 0,9w/m²×K, Uw:1,6w/m²xK, tonis RAL 7005</t>
  </si>
  <si>
    <t>Atvērumu izveide ārsienā ventilācijas vārstu montāžai</t>
  </si>
  <si>
    <t>Esosošo dz-betona lodžiju plātņu 1×3m*, t.sk. metāla stiprinājuma detaļu demontāža</t>
  </si>
  <si>
    <t>kpl.</t>
  </si>
  <si>
    <t>Līmjava CERESIT ZS vai ekvivalents</t>
  </si>
  <si>
    <t>Dībeli EJOT H3 195mm vai ekvivalents</t>
  </si>
  <si>
    <t>Armējošā līmjava CERESIT ZU vai ekvivalents</t>
  </si>
  <si>
    <t>siets, 160 g/m² stikla šķiedra</t>
  </si>
  <si>
    <t xml:space="preserve"> Siltumizolācija</t>
  </si>
  <si>
    <t>Līmjava CERESIT CT180 vai ekvivalents</t>
  </si>
  <si>
    <t xml:space="preserve">Gružu konteiners </t>
  </si>
  <si>
    <t>gb.</t>
  </si>
  <si>
    <t>gb..</t>
  </si>
  <si>
    <t>kmpl.</t>
  </si>
  <si>
    <t>Papildus armējums apkārrt  loga un durvju  ailām ar sietu , platums=0,3*0,5m</t>
  </si>
  <si>
    <t>hidroizlolācijas loksne, ekvivalents CONTEGA Exo</t>
  </si>
  <si>
    <t>difūzujas lenta ekvivalents CONTEGA   SL</t>
  </si>
  <si>
    <t>t.sk.darba aizsardzība</t>
  </si>
  <si>
    <t>Pavisam kopā</t>
  </si>
  <si>
    <t>celtniecības aizsargsiets</t>
  </si>
  <si>
    <t>Siets stikla šķiedra</t>
  </si>
  <si>
    <t>kpl</t>
  </si>
  <si>
    <t>Logu montāžas palīgmateriāli uz  apjomu</t>
  </si>
  <si>
    <t>hermētiķis SILIKON vai ekvivalents</t>
  </si>
  <si>
    <t>Durvju montāžas palīgmateriāli uz  apjomu</t>
  </si>
  <si>
    <t xml:space="preserve"> stūra profils (ekviv. Sakret ALB-EC-U-R250 ).</t>
  </si>
  <si>
    <t>vate 20mm</t>
  </si>
  <si>
    <t>Līmjava ekviv. Ceresit CT 190</t>
  </si>
  <si>
    <t xml:space="preserve">  špaktele ekviv.Vetonit LR</t>
  </si>
  <si>
    <t xml:space="preserve">      Ģeotekstilas pleves ieklāšana</t>
  </si>
  <si>
    <t xml:space="preserve">      Šķembas (fr.40-70mm) kārtas ieklāšana 100mm </t>
  </si>
  <si>
    <t xml:space="preserve">     šķembas</t>
  </si>
  <si>
    <t xml:space="preserve">      Šķembu fr.0-40mm ieklāšana, biezums 50mm</t>
  </si>
  <si>
    <t xml:space="preserve">      Grants izsijas slāņa izveidošana, biezums 50mm</t>
  </si>
  <si>
    <t>grants</t>
  </si>
  <si>
    <t xml:space="preserve">      Betona bruģakmens ieklāšana, biezums 60mm</t>
  </si>
  <si>
    <t xml:space="preserve">Betona bruģis </t>
  </si>
  <si>
    <t>Izsijas -30mm</t>
  </si>
  <si>
    <t xml:space="preserve">      Betons B7,5 pamatu izveidošana betona bortakmens apmalei</t>
  </si>
  <si>
    <t>betons</t>
  </si>
  <si>
    <t xml:space="preserve">      Bortakmens 80x200x1000 montēšana</t>
  </si>
  <si>
    <t>PVC  bloks ar  stikla paketi Ug; Uf atbilstoši pasūtītāja vai lietotāja vēlmēm Siltuma caurlaidības koef.: Uw 1,1 W / m² K. Rāmis Dziļums: 72mm (pēc izvēles 82mm rāmja konstrukcija) / Logu vēja noturības klase- ne zemāka par C2 (pēc LVS EN 12210) Logu gaisa caurlaidības klase - ne zemāka par 3 (pēc LVS EN 12207). ūdensnecaurlaidības kalse -  8A  (pēc LVS EN 12208)</t>
  </si>
  <si>
    <t>Esošo apgaismojuma lampu un kabeļu instalācijas demontāža.</t>
  </si>
  <si>
    <t>gab</t>
  </si>
  <si>
    <t>Siliktā -silikona homogēnais apmetums Ceresit CT174 vai ekvivalents, 1,5mm graudu lielums</t>
  </si>
  <si>
    <t>Dībeli virsmas klasifikācija ETA A,B,C,D,E, galvas Ø60, nagla tērauda Ø8-10, Punkta siltumatdeves koeficients 0,002 W/K, min iestrādes dziļums &gt;35mm, vai ekvivalents 215mm</t>
  </si>
  <si>
    <t>Dībeli virsmas klasifikācija ETA A,B,C,D,E, galvas Ø60, nagla tērauda Ø8-10, Punkta siltumatdeves koeficients 0,002 W/K, min iestrādes dziļums &gt;35mm, vai ekvivalents 135mm</t>
  </si>
  <si>
    <t>Dībeli virsmas klasifikācija ETA A,B,C,D,E, galvas Ø60, nagla tērauda Ø8, Punkta siltumatdeves koeficients 0,002 W/K, min iestrādes dziļums &gt;35mm, vai ekvivalents Eco 75mm</t>
  </si>
  <si>
    <t>Cauruļvadu un pievienojumu fasondetaļas un veidgabali</t>
  </si>
  <si>
    <t>lodžiju saņu plakne un starpsienas</t>
  </si>
  <si>
    <t>lodžiju pamatplakne</t>
  </si>
  <si>
    <t>Objekta adrese: Aisteres iela 7, Liepājā</t>
  </si>
  <si>
    <t>Pasūtījuma Nr.WS-41-17</t>
  </si>
  <si>
    <t>Ieejas mezglu atjaunošana. Ēka Nr.1</t>
  </si>
  <si>
    <t>Ieejas laukuma fragmenta, 0.7 m² uz 1 ieeju, nozāģēšana jaunu pakāpienu izbūvei</t>
  </si>
  <si>
    <t>Betona pandusa nokalšana pagraba kāpnēm</t>
  </si>
  <si>
    <t>Betona plātņu, b=110,  demontāža no pagraba atbalstsienu augšas</t>
  </si>
  <si>
    <t>Betona augšējās kārtas nokalšana no ieeju laukumiem, pagraba kāpnēm, b=30* mm, pēc vietas</t>
  </si>
  <si>
    <t>Betona B20 F50 iestrāde 30 mm biezumā, ar metāla skaidu piejaukumu, nodrošinot abrazīvu virsmu</t>
  </si>
  <si>
    <t>Esošā seguma novākšana no pagraba ieeju laukumiem</t>
  </si>
  <si>
    <t>Betona B20 F50 laukuma ierīkošana pie pagraba durvīm, betona biezums 12 cm</t>
  </si>
  <si>
    <t>Blietētas šķembu kārtas, b=100,  sagatavošana zem betona laukuma</t>
  </si>
  <si>
    <t>Grunts izstrāde kāpņu pamatu iebūvei</t>
  </si>
  <si>
    <t>Blietētu šķembu sagatavojuma kārtas, b=10 cm, izveidošana,  smilts pildījums, ja nepieciešams</t>
  </si>
  <si>
    <t>Stiegrojuma Ø6AI, aptveres, l=2 m, s=300, 9 gab uz elem. kāpņu pamatiem, 3 ieejām; kop.L=54 m</t>
  </si>
  <si>
    <t>Garenstiegras Ø8AIII, 9 gab uz elem., l=3 m; 3 ieejām kop.L=81 m</t>
  </si>
  <si>
    <t>Betons B20, F50 kāpņu pamatu izveidošanai</t>
  </si>
  <si>
    <t>Apakšējā pakāpiena atbalstdetaļas montēšana, Ø20AIII, s=200, l=150, 14 gab uz elem., kop.L=6.3</t>
  </si>
  <si>
    <t>Saliekamo betona pakāpienu montēšana (h×b×l= 0,15×0,3×3.04* m), ekviv. X-sēta ražojumam</t>
  </si>
  <si>
    <t>Pagraba  ieejas atbalstsienu (pamatu bloki b=400) virsmas remonts, krāsojums (abas puses)</t>
  </si>
  <si>
    <t>Rūpnieciski izgatavotu plātņu, ekv. SIA "Skati", montēšana uz izlīdzinātas atbalstsienas virsmas</t>
  </si>
  <si>
    <t>Veicamie darbi bēniņu siltināšanai, vēdināšanas izvadiem, atvērumu aizpildīšanai. Ēka Nr.1</t>
  </si>
  <si>
    <t>Esošo bēniņu lūku demontāža (ar karkasu 800x1000)</t>
  </si>
  <si>
    <t>Ugunsdrošu (ugunsizturība EI30)  bēniņu lūku montāža, nostiprināšana (esošie izmēri 800x1000)</t>
  </si>
  <si>
    <t>Gāzbetona bloku mūris, b=200; h=350, pa lūku perimetru, 0,4 m³ uz lūku; šuve stiegrota ar Ø8, l=4x4,8 m</t>
  </si>
  <si>
    <r>
      <t>m</t>
    </r>
    <r>
      <rPr>
        <b/>
        <sz val="8"/>
        <rFont val="Arial"/>
        <family val="2"/>
        <charset val="186"/>
      </rPr>
      <t>³</t>
    </r>
  </si>
  <si>
    <t>Būvkalumi 100x100x100x2,5 mm, dībeļi M10x80, 2 gab uz detaļu, mūra enkurošanai pie pārseguma</t>
  </si>
  <si>
    <t xml:space="preserve">Esošā pārseguma virsmas attīrīšana, gružu izvākšana, virsmas izlīdzināšana  </t>
  </si>
  <si>
    <t>Dēļu laipu uzstādīšana: (elementi 900x1800 mm)</t>
  </si>
  <si>
    <t xml:space="preserve">  * koka brusas ar prettrupes un pretuguns apstrādi 75×125(h)x1800</t>
  </si>
  <si>
    <t xml:space="preserve">  * dēļi ar prettrupes un pretuguns apstrādi130×25(h)x900</t>
  </si>
  <si>
    <t>Vēdināšanas izvadi, 470x470 mm; h=2,1m - 22 gb; h=1m - 5 gb; no FIBO bloku mūra:</t>
  </si>
  <si>
    <t xml:space="preserve">  * bēniņos esošo izvadu augšējo mūra kārtu atjaunošana: 2 kārtas, 510x510 mm, 27 izvadu pamatnes</t>
  </si>
  <si>
    <t xml:space="preserve">  * vēdināšanas izvadi no FIBO bloku mūra (0,47x0,47x2,1x22gb+0,47x0,47x1x5 gb, (stiegrot katru 3.šuvi)</t>
  </si>
  <si>
    <t xml:space="preserve">  * izvadu sānu un augšējās mūra virsmas apmešana un krāsošana virsjumta daļā</t>
  </si>
  <si>
    <t>Skārda jumtiņu ierīkošana vēdināšanas izvadiem:</t>
  </si>
  <si>
    <t xml:space="preserve">  * metāla enkurdetaļas - 4x40, l=500; 4 gab uz izvadu; kopā 108 gab; kop.L=54 m</t>
  </si>
  <si>
    <t xml:space="preserve">  * metāla detaļa - 4x40 pa jumtiņa perimetru,  l=1,9 m; 1 gab uz izvadu; kop.L=51,3 m</t>
  </si>
  <si>
    <t xml:space="preserve">  * ķīļenkuri M10x60 detaļu nostiprināšanai pie izvadu mūra, 2 gab uz detaļu</t>
  </si>
  <si>
    <t xml:space="preserve">  * jumta skārds izvadu jumtiņu segumam; 0,7 m² uz jumtiņu</t>
  </si>
  <si>
    <t xml:space="preserve"> * metāla detaļu pretkorozijas krāsošana</t>
  </si>
  <si>
    <t>Izvadu pieslēgumu izveidošana no gludā jumta skārda pie jumta segumu:</t>
  </si>
  <si>
    <t xml:space="preserve">  * gropes iefrēzēšana izvadu bloku mūrī 2 cm dziļi  skārda ievietošanai</t>
  </si>
  <si>
    <t xml:space="preserve">  * gludā skārda losne, b=300, pēc vietas izlocīta gar izvadiem</t>
  </si>
  <si>
    <t xml:space="preserve">  * šuvju hermetizēšana gar skārda pieslēgumiem</t>
  </si>
  <si>
    <t>Atvērumu Ø500 aizbetonēšana pēc atkritumu vadu demontāžas (20 vietas); atvērumi  42x42cm - 5 gb:</t>
  </si>
  <si>
    <t xml:space="preserve">  * mitruma izturīgās OSB plātnes Ø500, b=25 mm, sagatavots kā veidnis</t>
  </si>
  <si>
    <t xml:space="preserve">  * mitruma izturīgās OSB plātnes 420x420, b=25 mm, sagatavots kā veidnis</t>
  </si>
  <si>
    <t xml:space="preserve">  * betons B20 F50, plātnes b=6 cm, kā arī dobumu aizpildīšanai panelī</t>
  </si>
  <si>
    <r>
      <t>m</t>
    </r>
    <r>
      <rPr>
        <sz val="8"/>
        <rFont val="Calibri"/>
        <family val="2"/>
        <charset val="186"/>
      </rPr>
      <t>³</t>
    </r>
  </si>
  <si>
    <t xml:space="preserve">  * stiegru siets, Ø8AIII, 100x100 mm, sagatavots izmēram Ø500</t>
  </si>
  <si>
    <t xml:space="preserve">  * stiegru siets, Ø8AIII, 100x100 mm, sagatavots izmēram 420x420</t>
  </si>
  <si>
    <t xml:space="preserve">  * L 75x5 pa lūkas perimetru, l=15 cm, 8 gb uz atv., kop.L=30 m</t>
  </si>
  <si>
    <t xml:space="preserve">  * ķīļenkuri Ø10x80, 1 gab uz detaļu, 8 gb uz atvērumu</t>
  </si>
  <si>
    <t xml:space="preserve">  * metāla detaļu pretkorozijas krāsojums</t>
  </si>
  <si>
    <t xml:space="preserve">  * atvēruma apšūšana ar pielāgotu, krāsotu ugunsdrošu ģipškartona plātni, b=15 mm</t>
  </si>
  <si>
    <t xml:space="preserve">Plaisas, b=30 mm, remonts bēniņu pārsegumā (2 plaisas, ass 5-5; E-E); </t>
  </si>
  <si>
    <t xml:space="preserve">  * plaisas iztīrīšana, aizpildīšana ar  šuvju mastiku </t>
  </si>
  <si>
    <t xml:space="preserve">  * metāla plātņu -10x150x150 enkurošana pie pārseguma, 10 gb uz plaisu, kopā 20 gab</t>
  </si>
  <si>
    <t xml:space="preserve">  * ķīmiskie dībeļi M16x200; 4 gab uz detaļu</t>
  </si>
  <si>
    <t xml:space="preserve">  * stieņu Ø20, l=700, piemetināšana pie plātnēm, 20 gb, kop.L=14 m</t>
  </si>
  <si>
    <t xml:space="preserve">  * metāla detaļu apbetonēšana ar smalku betonu B20, slāņa biezums 50 mm, josla 1x4* m  </t>
  </si>
  <si>
    <t xml:space="preserve">Sakaru kabeļu pārvilkšanu firmas veic par saviem līdzekļiem. SIA "Ostkom" jāievēro norādes lapā BK-10 </t>
  </si>
  <si>
    <t>T</t>
  </si>
  <si>
    <t xml:space="preserve">  * cementa java b=20 *mm uz paneļu augš.virsmas pēc galasienu nozāģēšanas līdz proj.līmenim </t>
  </si>
  <si>
    <t xml:space="preserve">  * gāzbetona bloku mūris, b=250, h=265, l=5,75 m, 2 sienas - 1 m³; galasienu korei mūris - 0,2 m³ </t>
  </si>
  <si>
    <t xml:space="preserve">  * ekvivav.Paroc Linio 15, b=50, uz siltinātas paneļu sienas augšas, b=450, starp latām, L=47,2 m</t>
  </si>
  <si>
    <t xml:space="preserve">  * ekvivav.Paroc Linio 15, b=50, uz nesiltinātas paneļu sienas augšas, b=250, starp latām, L=11,5 m</t>
  </si>
  <si>
    <t xml:space="preserve">  * antispetizētas slīpinātas, enkurotas koka latas 50x50÷70(h) x450, s=600 siltinātam parapetam</t>
  </si>
  <si>
    <t xml:space="preserve">  * antispetizētas slīpinātas, enkurotas koka latas 50x50÷70(h) x250, s=600 nesiltinātam parapetam</t>
  </si>
  <si>
    <t xml:space="preserve">  * ķīļenkuri 12x125, 2 gab uz latu (abiem parapetiem) </t>
  </si>
  <si>
    <t xml:space="preserve">  * mitruma izturīga OSB plātne, b=18 mm, lentveida, b=450, naglota pie latas </t>
  </si>
  <si>
    <t xml:space="preserve">  * mitruma izturīga OSB plātne, b=18 mm, lentveida, b=250, naglota pie latas </t>
  </si>
  <si>
    <t xml:space="preserve">  * liekta metāla enkurdetaļa -4x40, l=800, s=600, skārda apliekšanai</t>
  </si>
  <si>
    <t xml:space="preserve">  * liekta metāla enkurdetaļa -4x40, l=720, s=600, skārda apliekšanai</t>
  </si>
  <si>
    <t xml:space="preserve">  * parapetu apšuvums ar skārdu RR23, b=0,85x47,2 m; b=0,77x11,5 m</t>
  </si>
  <si>
    <t xml:space="preserve">Veicamie būvdarbi galasienām pa asīm 5-5, E-E bēniņu zonā (lapa BK-7): </t>
  </si>
  <si>
    <t xml:space="preserve">  * esošās ailas daļēja aizmūrēšana ar gāzbetona bloku mūri, b=25 cm, atstājot ailu b=0,9 m </t>
  </si>
  <si>
    <t xml:space="preserve">  * metāla enkuri Ø10, l=300, ieurbti esošā sienā 15 cm un iemūrēti jaunā sienā 15 cm, s=400</t>
  </si>
  <si>
    <t xml:space="preserve">  * U-profila Nr.12 pārsedze uz cementa javas virs ailas 0,9 m, 2 gab uz ailu, l=1,4 m; kop.l=1,4x4=5,6 m </t>
  </si>
  <si>
    <t xml:space="preserve">  * ribas -5x100, l=150; 6 gab uz ailu, profilu sajūgšanai augš- un apakšjoslām; kop.L=0,15x12=1,8 m </t>
  </si>
  <si>
    <t xml:space="preserve">  * pārsedzes apmetums uz metāla sieta</t>
  </si>
  <si>
    <t>Jauna slīpā jumta konstrukciju izbūves apjomi pēc atsevišķi izstrādātiem rasējumiem</t>
  </si>
  <si>
    <t>Veicamie darbi jumtu siltināšanai virs lodžijām un 5.stāva dzīvokļiem lodžiju zonā. Ēka Nr.1</t>
  </si>
  <si>
    <t>Esošās ruberoīda virsmas notīrīšana no gružiem, izlīdzināšana pēc izvērtējuma, kop.L=106 m, b=1.2</t>
  </si>
  <si>
    <t>Skārda apšuvuma noņemšana no lodžijas jumta paneļa priekš- un malām, b=300, kop.L=130 m</t>
  </si>
  <si>
    <t>Atbalsta joslas, b=100,  attīrīšana koka brusas enkurošanas vietā</t>
  </si>
  <si>
    <t>Leņķprofils L100x7, l=100; brusas enkurošanai; s=500, 244 gab,  kop.L=24.4 m</t>
  </si>
  <si>
    <t>Metāla detaļu pretkorozijas krāsošana</t>
  </si>
  <si>
    <t>Ķīļenkuri M10x110, 1 gab uz detaļu</t>
  </si>
  <si>
    <t>Kokskrūves Ø8x80,  1 gab uz detaļu</t>
  </si>
  <si>
    <t>Lodžijas jumta priekšmalas siltināšana ar apdari; apdare arī sānu malām, kuru siltin.sk.AR daļā:</t>
  </si>
  <si>
    <t xml:space="preserve">   * metināta pielāgota detaļa -4x50x200, enkurota  pie lodžijas paneļa sānu malas, apšuvuma detaļas nostiprināšanai,  s=500; 244 gab uz ēku, kop.L=49 m</t>
  </si>
  <si>
    <t xml:space="preserve">   * ķīļenkuri M10, l=60, 1 gab uz detaļu</t>
  </si>
  <si>
    <t xml:space="preserve">   * liekta metāla detaļa -4x40x700* skārda aplocīšanai, s=500, 244 gab, kop.l=171 m</t>
  </si>
  <si>
    <t xml:space="preserve">   * kokskrūves, Ø8x100, detaļas enkurošanai pie koka brusas, s=500</t>
  </si>
  <si>
    <t xml:space="preserve">   * priekšmalas un sānu (b=1 m) skārda apšuvums, b=0,75 m, lodžiju malai, rūpīgi aplocīts, tonis pēc AR</t>
  </si>
  <si>
    <t xml:space="preserve">   * metāla detaļu pretkorozijas krāsojums</t>
  </si>
  <si>
    <t xml:space="preserve">   * stūra elements 150x150, ekvivalents Paroc ROB 50</t>
  </si>
  <si>
    <t xml:space="preserve">   * cinkota skārda noseglīste, b=150, pašurbjoša enkurojuma l=200*, solis 200 </t>
  </si>
  <si>
    <t xml:space="preserve">   * cokola profils zem ārsienas siltinājuma S1 (b=180 mm) gar lodžiju jumtu</t>
  </si>
  <si>
    <t xml:space="preserve">   * hermetizēta šuve gar pieslēgumu</t>
  </si>
  <si>
    <t xml:space="preserve">Deflektoru iebūve siltinātā lodžiju jumtā, Ø100 mm, h=300 mm, skatīt mezglu lapā BK-8 </t>
  </si>
  <si>
    <t>Esošās ruberoīda virsmas notīrīšana no gružiem, izlīdzināšana pēc izvērtējuma, kop.L=14 m, b=1.2</t>
  </si>
  <si>
    <t>Skārda apšuvuma noņemšana no lodžijas jumta paneļa priekš- un malām, b=300, kop.L=24 m</t>
  </si>
  <si>
    <t>Atbalsta joslas, b=200,  attīrīšanano seguma līdz cietai virsmai mūra sieniņu atbalstam</t>
  </si>
  <si>
    <t>Gāzbetona bloku sieniņu, b=200, h=300, uzmūrēšana parapetam,  h=200 - siltinājuma norobežošanai</t>
  </si>
  <si>
    <t>Būvkalumi 100x100x100x2.5; s=500, mūra enkurošanai pie pārseguma</t>
  </si>
  <si>
    <t>Ķīļenkuri M10x80, 2 gab uz detaļu</t>
  </si>
  <si>
    <t>Liekta metāla detaļa -4x40x650* uz parapeta skārda aplocīšanai, s=500, 32 gab, kop.l=20.8 m</t>
  </si>
  <si>
    <t>Ķīļenkuri M10, l=60, 2 gab uz detaļu</t>
  </si>
  <si>
    <t>Parapeta apšuvums ar skārdu, b=0,7 m, rūpīgi aplocīts, tonis pēc AR</t>
  </si>
  <si>
    <t>Metāla detaļu pretkorozijas krāsojums</t>
  </si>
  <si>
    <t>Siltinātā dzīvokļu jumtiņa pieslēgums pie ārsienas (mezgls lapā BK-6), kop.L=16 m:</t>
  </si>
  <si>
    <t xml:space="preserve">   * cokola profils zem ārsienas siltinājuma S1 (b=180 mm) gar dzīvokļa jumtu</t>
  </si>
  <si>
    <t xml:space="preserve">Deflektoru iebūve siltinātā dzīvokļa jumtā, Ø100 mm, h=300 mm, skatīt mezglu lapā BK-8 </t>
  </si>
  <si>
    <t>Ārējo ieeju jumtiņu atjaunošana. Ēka Nr.1</t>
  </si>
  <si>
    <t>Jumtiņa apmales skārda demontāža (b=0,4m), 4 gb</t>
  </si>
  <si>
    <t>Esošā ruberoīda seguma noņemšana, virsmas attīrīšana, izlīdzināšana ar cementa javu, b=20</t>
  </si>
  <si>
    <t>Jumtiņa betona virsmas notīrīšana fasādē atsegtām sānu malām un apakšējai plaknei</t>
  </si>
  <si>
    <t>Jumtiņa apakšējās virsmas un malu remonts, pielietojot Sakret ekvivalentu tehnoloģiju:</t>
  </si>
  <si>
    <t xml:space="preserve">   * atsegto stiegru pretkorozijas apstrāde, precizēt pēc vietas</t>
  </si>
  <si>
    <t xml:space="preserve">   * virsmas apstrāde ar sasaistes uzlabotāju</t>
  </si>
  <si>
    <t xml:space="preserve">   * betona aizsargkārtas atjaunošana (remontjava, ekviv.Sika Mono Top 412N )</t>
  </si>
  <si>
    <t xml:space="preserve">   * izlīdzinātās virsmas špaktelēšana un gruntēšana</t>
  </si>
  <si>
    <t xml:space="preserve">   * sagatavotas virsmas krāsošana ar betona virsmai paredzētu fasādes krāsu( 2x kārtas)</t>
  </si>
  <si>
    <t>Antiseptizētas koka latas 50x50 enkurošana gar jumtiņa malu</t>
  </si>
  <si>
    <t>Siltinājuma, ekviv.Kooltherm K5, b=50, ieklāšana uz jumtiņa</t>
  </si>
  <si>
    <t xml:space="preserve">Jumtiņa dzegas un sānu apšuvums ar rūpnieciski krāsotu skārdu, b=500, (pēc krāsu pases) </t>
  </si>
  <si>
    <t>Jumta skārda lāseņa nostiprināšana pa jumtiņa garumu, b=250, tonis pēc AR norādēm</t>
  </si>
  <si>
    <t>Cokola profils zem siltinājuma S1 (b=180 mm) gar jumtiņu</t>
  </si>
  <si>
    <t xml:space="preserve">Krāsota skārda ieliekta noseglīste gar pieslēgumu, b=250, enkurojuma solis 20 cm </t>
  </si>
  <si>
    <t>Tekne ar turētāju, Ø100, tonis pēc AR norādēm</t>
  </si>
  <si>
    <t xml:space="preserve">Noteka, Ø100, krāsu tonis pēc AR norādēm </t>
  </si>
  <si>
    <t xml:space="preserve">   * kārbveida tērauda stati 60x60x4, l=900, ekv. EN 10219, 1 gab uz lodžiju</t>
  </si>
  <si>
    <t xml:space="preserve">   * kārbveida tērauda sijas 60x100(h)x4, l=6,24 m, ekv.EN 10219, 1 gb uz lodž.</t>
  </si>
  <si>
    <t xml:space="preserve">   * plakantērauda atbalstdetaļas -10x100x200(h), 2 gab uz siju</t>
  </si>
  <si>
    <t xml:space="preserve">   * ķīļenkuri Ø12, l=80, 2 gab uz detaļu</t>
  </si>
  <si>
    <t xml:space="preserve">   * leņķveida detaļa L110x70x6,5; l=6,24 m; 1 gab uz lodžiju</t>
  </si>
  <si>
    <t xml:space="preserve">   * ķīļenkuri M12, l=80; s=500; 10 gab uz lodžiju</t>
  </si>
  <si>
    <t xml:space="preserve">   * metināta enkurdetaļa -4x50x200, enkurota  pie paneļa sānu malas apšuvuma enkurdetaļas nostiprināšanai,  s=500; 10 gab uz lodžiju</t>
  </si>
  <si>
    <t xml:space="preserve">   * liekta metāla detaļa -4x40x370* skārda aplocīšanai, 10 gab uz lodžiju</t>
  </si>
  <si>
    <t xml:space="preserve">   * skārda apšuvums, b=0,45 m, lodžiju malai, tonis pēc AR krāsu pases</t>
  </si>
  <si>
    <t>Citi materiāli (malas siltinājums un Sendvič paneļi - AR apjomos):</t>
  </si>
  <si>
    <t xml:space="preserve">   * PVC stūra detaļa, l=6,24 m, zem malas siltinājuma,1 gab uz lodžiju </t>
  </si>
  <si>
    <t xml:space="preserve">   * mitruma izturīga OSB loksne, 30(h)x110 zem "Sendvič" paneļa </t>
  </si>
  <si>
    <t xml:space="preserve">   * ķīļenkuri M10x60, s=500, loksnes nostiprināšanai pie paneļa, 10 gb uz lodž.</t>
  </si>
  <si>
    <t xml:space="preserve">   * hidroizlācijas lenta, b=110,  zem OSB starplikas </t>
  </si>
  <si>
    <t xml:space="preserve">   * PVC palodze, b=150* mm, 1 gab uz lodžiju</t>
  </si>
  <si>
    <t xml:space="preserve">   * U-veida termoprofils, h=130, "Sendvič" paneļa augšas nosegšanai</t>
  </si>
  <si>
    <t xml:space="preserve">   * šuvju blīvējumi gar "Sendvič" paneli augšā un apakšā</t>
  </si>
  <si>
    <t xml:space="preserve">   * skārda palodze, b=150,  pēc stiklojuma uzstādīšanas</t>
  </si>
  <si>
    <t xml:space="preserve">   * lodžijas paneļu apakšējās betona virsmas atjaunošana pēc Sakret tehn. </t>
  </si>
  <si>
    <t>"Sendvič" paneļu enkurošana pie metāla konstrukcijām pēc ražotāja norādes</t>
  </si>
  <si>
    <t xml:space="preserve">   * kārbveida tērauda sijas 60x100(h)x4, l=3,04 m,ekv.EN 10219, 1 gb uz lodž.</t>
  </si>
  <si>
    <t xml:space="preserve">   * leņķveida detaļa L110x70x6,5; l=3,04 m; 1 gab uz lodžiju</t>
  </si>
  <si>
    <t xml:space="preserve">   * ķīļenkuri M12, l=80; s=500; 5 gab uz lodžiju</t>
  </si>
  <si>
    <t xml:space="preserve">   * metināta enkurdetaļa -4x50x200, enkurota  pie lodžijas paneļa sānu malas apšuvuma enkurdetaļas nostiprināšanai,  s=500; 5 gab uz lodžiju</t>
  </si>
  <si>
    <t xml:space="preserve">   * liekta metāla detaļa -4x40x370* skārda aplocīšanai, 5 gab uz lodžiju</t>
  </si>
  <si>
    <t xml:space="preserve">   * PVC stūra detaļa, l=3,04 m, zem malas siltinājuma,1 gab uz lodžiju </t>
  </si>
  <si>
    <t xml:space="preserve">   * ķīļenkuri M10x60, s=500, loksnes nostiprināšanai pie paneļa, 5 gb uz lodž.</t>
  </si>
  <si>
    <t xml:space="preserve">   * hidroizlācijas lenta, b=110,  zem OSB starplikas, 3,04 m uz lodžiju </t>
  </si>
  <si>
    <t xml:space="preserve">   * PVC palodze, b=150* mm, 1 gab uz lodžiju, l=3,04 m</t>
  </si>
  <si>
    <t>Ieejas mezgli ēkai nr.1</t>
  </si>
  <si>
    <t>Ieejas mezgli ēkai nr.2</t>
  </si>
  <si>
    <t>Ieejas mezglu atjaunošana. Ēka Nr.2</t>
  </si>
  <si>
    <t>Stiegrojuma Ø6AI, aptveres, l=2 m, s=300, 9 gab uz elem. kāpņu pamatiem, 2 ieejām; kop.L=36 m</t>
  </si>
  <si>
    <t>Garenstiegras Ø8AIII, 9 gab uz elem., l=3 m; 2 ieejām kop.L=54 m</t>
  </si>
  <si>
    <t>Apakšējā pakāpiena atbalstdetaļas montēšana, Ø20AIII, s=200, l=150, 14 gab uz elem., kop.L=5.6</t>
  </si>
  <si>
    <t>Ārējo ieeju jumtiņu atjaunošana. Ēka Nr.2</t>
  </si>
  <si>
    <t>Jumtiņa apmales skārda demontāža (b=0,4m), 2 gb</t>
  </si>
  <si>
    <t>Veicamie darbi bēniņu siltināšanai, vēdināšanas izvadiem, atvērumu aizpildīšanai. Ēka Nr.2</t>
  </si>
  <si>
    <t xml:space="preserve">  * bēniņos esošo izvadu augšējo mūra kārtu atjaunošana: 2 kārtas, 510x510 mm, 13 izvadu pamatnes</t>
  </si>
  <si>
    <t xml:space="preserve">  * vēdināšanas izvadi no FIBO bloku mūra (0,47x0,47x2,1x11gb+0,47x0,47x1x2 gb, (stiegrot katru 3.šuvi)</t>
  </si>
  <si>
    <t xml:space="preserve">  * metāla enkurdetaļas - 4x40, l=500; 4 gab uz izvadu; kopā 52 gab; kop.L=26 m</t>
  </si>
  <si>
    <t xml:space="preserve">  * metāla detaļa - 4x40 pa jumtiņa perimetru,  l=1,9 m; 1 gab uz izvadu; kop.L=24.7 m</t>
  </si>
  <si>
    <t>Atvērumu Ø500 aizbetonēšana pēc atkritumu vadu demontāžas (12 vietas); atvērumi 420x420 - 2 gab:</t>
  </si>
  <si>
    <t xml:space="preserve">  * L 75x5 pa lūkas perimetru, l=15 cm, 8 gb uz atv., kop.L=14.4 m</t>
  </si>
  <si>
    <t>Demontējami dzelzsbetona kontrforsi (pēc tekņu demontāžas), 10 gab, 1 elementa svars 1 T</t>
  </si>
  <si>
    <t xml:space="preserve">  * gāzbetona bloku mūris, b=250, galasienu korei mūris - 0,2 m³ x2 sienas; precizēt pēc vietas</t>
  </si>
  <si>
    <t xml:space="preserve">  * ekvivav.Paroc Linio 15, b=50, uz siltinātas paneļu galasienas augšas, b=450, starp latām, L=24 m</t>
  </si>
  <si>
    <t xml:space="preserve">  * ķīļenkuri 12x125, 2 gab uz latu </t>
  </si>
  <si>
    <t xml:space="preserve">  * parapetu apšuvums ar skārdu RR23, b=0,85x24 m</t>
  </si>
  <si>
    <t>Veicamie darbi jumtu siltināšanai virs lodžijām un 5.stāva dzīvokļiem lodžiju zonā. Ēka Nr.2</t>
  </si>
  <si>
    <t>Esošās ruberoīda virsmas notīrīšana no gružiem, izlīdzināšana pēc izvērtējuma, kop.L=51 m, b=1.2</t>
  </si>
  <si>
    <t>Leņķprofils L100x7, l=100; brusas enkurošanai; s=500, 122 gab,  kop.L=12.2 m</t>
  </si>
  <si>
    <t xml:space="preserve">   * metināta pielāgota detaļa -4x50x200, enkurota  pie lodžijas paneļa sānu malas, apšuvuma detaļas nostiprināšanai,  s=500; 122 gab uz ēku, kop.L=24.4 m</t>
  </si>
  <si>
    <t xml:space="preserve">   * liekta metāla detaļa -4x40x700* skārda aplocīšanai, s=500, 122 gab, kop.l=85.4 m</t>
  </si>
  <si>
    <t>Siltinātā lodžiju jumtiņa pieslēgums pie ārsienas (mezgls lapā BK-6), kop.L=51 m:</t>
  </si>
  <si>
    <t>Java M100</t>
  </si>
  <si>
    <t xml:space="preserve">Bloki </t>
  </si>
  <si>
    <t>Siltumizolācija</t>
  </si>
  <si>
    <t xml:space="preserve">      Prettrupes un prettuguns sastāvs</t>
  </si>
  <si>
    <t>KA-1U  vai ekvivalents</t>
  </si>
  <si>
    <t>Ķieģeļi</t>
  </si>
  <si>
    <t xml:space="preserve">Špaktels </t>
  </si>
  <si>
    <t>java</t>
  </si>
  <si>
    <t xml:space="preserve">       Metāla sieta Ø3, 50x50 mm </t>
  </si>
  <si>
    <t>gaze</t>
  </si>
  <si>
    <t>bal</t>
  </si>
  <si>
    <t xml:space="preserve">   * divas seguma kārtas </t>
  </si>
  <si>
    <t xml:space="preserve">Skārds </t>
  </si>
  <si>
    <t xml:space="preserve">teknes </t>
  </si>
  <si>
    <t xml:space="preserve">teknes  āķis  </t>
  </si>
  <si>
    <t>teknes gals</t>
  </si>
  <si>
    <t xml:space="preserve">skrūves </t>
  </si>
  <si>
    <t>silikons</t>
  </si>
  <si>
    <t>kniedes</t>
  </si>
  <si>
    <t xml:space="preserve">notekcaurules </t>
  </si>
  <si>
    <t>caurules stiprinājums  ar dībeli</t>
  </si>
  <si>
    <t>piltuves</t>
  </si>
  <si>
    <t xml:space="preserve">veidgabali, līkums </t>
  </si>
  <si>
    <t>LOGI</t>
  </si>
  <si>
    <t>DURVIS</t>
  </si>
  <si>
    <t>Bēniņu siltināšanas darbi ēkai nr.1(lielā)</t>
  </si>
  <si>
    <t>Bēniņu siltināšanas darbi ēkai nr.2(mazā)</t>
  </si>
  <si>
    <t>Jumta elementu virsmas remonts ēkai nr.1 (lielā)</t>
  </si>
  <si>
    <t>Jumta elementu virsmas remonts ēkai nr.2 (mazā)</t>
  </si>
  <si>
    <t>mūrlata</t>
  </si>
  <si>
    <t>spāre</t>
  </si>
  <si>
    <t>saišķis</t>
  </si>
  <si>
    <t>karnīzes elem.</t>
  </si>
  <si>
    <t>slipuma elem.</t>
  </si>
  <si>
    <t>b</t>
  </si>
  <si>
    <t>garums</t>
  </si>
  <si>
    <t>Elementu izmēri,              mm</t>
  </si>
  <si>
    <t>Latojums</t>
  </si>
  <si>
    <t>Jumta izbūve ēkai nr.1 (lielai)</t>
  </si>
  <si>
    <t>T1</t>
  </si>
  <si>
    <t>T2</t>
  </si>
  <si>
    <t>NAGLU PLATES KOPĀ</t>
  </si>
  <si>
    <t>Jumta izbūve ēkai nr.1 (mazā)</t>
  </si>
  <si>
    <t>Darba apmaksas likme, euro/h</t>
  </si>
  <si>
    <t>Darba alga,
euro</t>
  </si>
  <si>
    <t>Materiāli,
euro</t>
  </si>
  <si>
    <t>Mehānismi,
euro</t>
  </si>
  <si>
    <t>Summa,
euro</t>
  </si>
  <si>
    <t>Metāla sijas S235</t>
  </si>
  <si>
    <t>Metāla rīģeļu profili</t>
  </si>
  <si>
    <t xml:space="preserve"> </t>
  </si>
  <si>
    <t xml:space="preserve">    Metāla sija  Sm1,     HEA180,    L= 3270</t>
  </si>
  <si>
    <t xml:space="preserve">     ----- // -----  Sm2,     HEA200,    L= 6380</t>
  </si>
  <si>
    <t xml:space="preserve">     ----- // -----  Sm3,     HEA180,    L= 3180</t>
  </si>
  <si>
    <t xml:space="preserve">     ----- // -----  Sm4,     HEA200,    L= 6470</t>
  </si>
  <si>
    <r>
      <t xml:space="preserve">   </t>
    </r>
    <r>
      <rPr>
        <u/>
        <sz val="8"/>
        <rFont val="Arial"/>
        <family val="2"/>
        <charset val="204"/>
      </rPr>
      <t>Balsta elements BE-1</t>
    </r>
  </si>
  <si>
    <t xml:space="preserve">     U-veida prof.                UAP150,    l=675</t>
  </si>
  <si>
    <t xml:space="preserve">     Tēraudas plaksne      -- 10x140,    l=310</t>
  </si>
  <si>
    <t xml:space="preserve">         ------- // -------          -- 10x220,    l=300</t>
  </si>
  <si>
    <t xml:space="preserve">         ------- // -------          -- 10x150,    l=160</t>
  </si>
  <si>
    <t xml:space="preserve">         ------- // -------              -- 8x53,    l=130</t>
  </si>
  <si>
    <t>svars kg</t>
  </si>
  <si>
    <t>t</t>
  </si>
  <si>
    <t>Betona pārsedžu izbūve</t>
  </si>
  <si>
    <r>
      <t xml:space="preserve"> </t>
    </r>
    <r>
      <rPr>
        <u/>
        <sz val="8"/>
        <rFont val="Arial"/>
        <family val="2"/>
        <charset val="204"/>
      </rPr>
      <t>2.SEKCIJAS DZĪVOJĀMĀ MĀJA</t>
    </r>
    <r>
      <rPr>
        <sz val="8"/>
        <rFont val="Arial"/>
        <family val="2"/>
        <charset val="186"/>
      </rPr>
      <t xml:space="preserve"> </t>
    </r>
  </si>
  <si>
    <t>Tilpums m³</t>
  </si>
  <si>
    <t xml:space="preserve">  DZELZSBETONA PĀRSEDZE, betons C30/37  PR1  300X200H,  l =2800</t>
  </si>
  <si>
    <t xml:space="preserve">stiegras Ø6 B500B (LVL 191-1-2012) </t>
  </si>
  <si>
    <t xml:space="preserve">stiegras Ø12 B500B (LVL 191-1-2012) </t>
  </si>
  <si>
    <t>murlata</t>
  </si>
  <si>
    <t>spare</t>
  </si>
  <si>
    <t>diagonale</t>
  </si>
  <si>
    <t>latojums</t>
  </si>
  <si>
    <t>T3</t>
  </si>
  <si>
    <t>T4</t>
  </si>
  <si>
    <t>T5</t>
  </si>
  <si>
    <t>T6</t>
  </si>
  <si>
    <t>T7</t>
  </si>
  <si>
    <t>T8</t>
  </si>
  <si>
    <t>T9</t>
  </si>
  <si>
    <t xml:space="preserve">     ----- // -----  Sm5,     HEA200,    L= 6390</t>
  </si>
  <si>
    <t xml:space="preserve">     ----- // -----  Sm6,     HEA200,    L= 4176</t>
  </si>
  <si>
    <t xml:space="preserve">     ----- // -----  Sm7,     HEA200,    L= 4290</t>
  </si>
  <si>
    <t xml:space="preserve">     ----- // -----  Sm8,     HEA200,    L= 3696</t>
  </si>
  <si>
    <t xml:space="preserve">     ----- // -----  Sm9     HEA200,     L= 3330</t>
  </si>
  <si>
    <t>Balsta elements BE-1</t>
  </si>
  <si>
    <t xml:space="preserve">     U-veida prof.               UAP150,    l=675</t>
  </si>
  <si>
    <t xml:space="preserve">     Tēraudas plaksne     -- 10x140,    l=310</t>
  </si>
  <si>
    <t xml:space="preserve">         ------- // -------         -- 10x220,    l=300</t>
  </si>
  <si>
    <r>
      <t xml:space="preserve">          Betons C25/30                                m</t>
    </r>
    <r>
      <rPr>
        <vertAlign val="superscript"/>
        <sz val="8"/>
        <rFont val="Arial"/>
        <family val="2"/>
        <charset val="204"/>
      </rPr>
      <t>3</t>
    </r>
  </si>
  <si>
    <t xml:space="preserve">Betons C25/30 </t>
  </si>
  <si>
    <r>
      <t xml:space="preserve"> 4</t>
    </r>
    <r>
      <rPr>
        <u/>
        <sz val="8"/>
        <rFont val="Arial"/>
        <family val="2"/>
        <charset val="204"/>
      </rPr>
      <t>.SEKCIJAS DZĪVOJĀMĀ MĀJA</t>
    </r>
    <r>
      <rPr>
        <sz val="8"/>
        <rFont val="Arial"/>
        <family val="2"/>
        <charset val="186"/>
      </rPr>
      <t xml:space="preserve"> </t>
    </r>
  </si>
  <si>
    <t>Esošo koku k-ciju šķunīšu demontāža</t>
  </si>
  <si>
    <t>L10</t>
  </si>
  <si>
    <t>L11</t>
  </si>
  <si>
    <t>L12</t>
  </si>
  <si>
    <t>D2*</t>
  </si>
  <si>
    <t>Cinkota metāla žalūzija bēniņos R6</t>
  </si>
  <si>
    <t>garenfasādēs R3</t>
  </si>
  <si>
    <t>garenfasādēs aiz lodžiju stiklojuma R1</t>
  </si>
  <si>
    <t>pagrabā R4</t>
  </si>
  <si>
    <t>Cinkota metāla žalūzija bēniņos komplektā ar montāžas rāmi.
malas veidotas ar lāseni R5</t>
  </si>
  <si>
    <t>LODŽIJAS</t>
  </si>
  <si>
    <t>L14</t>
  </si>
  <si>
    <t>L16</t>
  </si>
  <si>
    <t>M1 - Lodžiju margu- sendviča tipa paneļu tonis RAL 9007</t>
  </si>
  <si>
    <t>M2 - Lodžiju margu- sendviča tipa paneļu tonis RAL 9008</t>
  </si>
  <si>
    <t>M3 - Lodžiju margu- sendviča tipa paneļu tonis RAL 7016</t>
  </si>
  <si>
    <t>M4 - Lodžiju margu- sendviča tipa paneļu t tonis RAL 7017</t>
  </si>
  <si>
    <t xml:space="preserve">S-1 Paneļu ārsienas siltinājums </t>
  </si>
  <si>
    <t>Putupolistirola plāksne, (ekvivalents
Tenapors NEO EPS 100 λ=0,031 W/m²×K);   b=150mm 
Līmjava, Vertikālā hidroizolācija, Gruntējums
Esoša siena/ribotais panelis   b=350/140mm</t>
  </si>
  <si>
    <t>S3* Pamatu sienu siltinājums bez apmetuma</t>
  </si>
  <si>
    <t>S5 pārbūvētā ieejas mezgla sienu siltinâjums</t>
  </si>
  <si>
    <t>gruntējums - Silikāta krāsas, tonis atbilstoši krāsu pasei</t>
  </si>
  <si>
    <t>S7 sienas gali</t>
  </si>
  <si>
    <t>P1  Pagraba pārseguma siltinājums</t>
  </si>
  <si>
    <t xml:space="preserve">P3=P4 Pārseguma siltinājums virs dzīvojamām telpām
</t>
  </si>
  <si>
    <t>P5 lodžiju paneļu apakšas siltinājums
1.stāvā</t>
  </si>
  <si>
    <t>Lodžijas sienu krāsojums</t>
  </si>
  <si>
    <t>akmensvate (PAROC Linio 10 vai  ekviv.)  λ=0,036W/m²K, b=150mm;</t>
  </si>
  <si>
    <t>Apmetuma sistēma virs siltinājuma ( AS-2) Putupolistirola plâksne, ekvivalnets Tenapors NEO EPS 100 λ=0,031 W/m²×K    b=50mm, Lîmjava, Gruntējums. Esoša siena  b=250mm</t>
  </si>
  <si>
    <t>Apmetuma sistēma virs siltinājuma (AS-3) Siltinājums - SPU materiāls (Kooltherm K5 vai ekvivalents,  λ=0,021W/mK) b=70mm. Līmjava. Gruntējums. Esoša betona vai ķieģeļu mūra siena  b=250*mm</t>
  </si>
  <si>
    <t>S8 ieejas mezgla sienu siltinâjums</t>
  </si>
  <si>
    <t>akmensvate (PAROC Linio 15 vai  ekviv.)  λ=0,037W/m²K, b=3×50=150mm;</t>
  </si>
  <si>
    <t>S-2 Gala ārsienas siltinājums 
Lodžiju sānsienu siltinājums</t>
  </si>
  <si>
    <r>
      <rPr>
        <b/>
        <sz val="8"/>
        <rFont val="Arial"/>
        <family val="2"/>
      </rPr>
      <t xml:space="preserve">AR </t>
    </r>
    <r>
      <rPr>
        <sz val="8"/>
        <rFont val="Arial"/>
        <family val="2"/>
      </rPr>
      <t xml:space="preserve">un </t>
    </r>
    <r>
      <rPr>
        <b/>
        <sz val="8"/>
        <rFont val="Arial"/>
        <family val="2"/>
      </rPr>
      <t>BK</t>
    </r>
  </si>
  <si>
    <t>esošās demotējamas un atliekamas L15</t>
  </si>
  <si>
    <t>esošās demotējamas un atliekamas L17</t>
  </si>
  <si>
    <t>sendvičapneļos R2</t>
  </si>
  <si>
    <t>Ārsienu siltināšanas darbi ēkā nr.1</t>
  </si>
  <si>
    <t>Logu nomaiņa, tsk. Lodžijas ēkā nr.1</t>
  </si>
  <si>
    <t>Cokola siltināšanas darbi ēkā nr.1</t>
  </si>
  <si>
    <t>Pagraba siltināšana ēkā nr.1</t>
  </si>
  <si>
    <r>
      <t>Summa
(</t>
    </r>
    <r>
      <rPr>
        <i/>
        <sz val="8"/>
        <rFont val="Arial"/>
        <family val="2"/>
        <charset val="186"/>
      </rPr>
      <t>euro)</t>
    </r>
  </si>
  <si>
    <t>Laika norma,
(c/h)</t>
  </si>
  <si>
    <r>
      <t>Darba samaksas likme (</t>
    </r>
    <r>
      <rPr>
        <i/>
        <sz val="8"/>
        <rFont val="Arial"/>
        <family val="2"/>
        <charset val="186"/>
      </rPr>
      <t>euro</t>
    </r>
    <r>
      <rPr>
        <sz val="8"/>
        <rFont val="Arial"/>
        <family val="2"/>
        <charset val="186"/>
      </rPr>
      <t>/h)</t>
    </r>
  </si>
  <si>
    <r>
      <t>Darba alga
(</t>
    </r>
    <r>
      <rPr>
        <i/>
        <sz val="8"/>
        <rFont val="Arial"/>
        <family val="2"/>
        <charset val="186"/>
      </rPr>
      <t>euro)</t>
    </r>
  </si>
  <si>
    <r>
      <t>Materiāli
(</t>
    </r>
    <r>
      <rPr>
        <i/>
        <sz val="8"/>
        <rFont val="Arial"/>
        <family val="2"/>
        <charset val="186"/>
      </rPr>
      <t>euro)</t>
    </r>
  </si>
  <si>
    <r>
      <t>Mehānismi
(</t>
    </r>
    <r>
      <rPr>
        <i/>
        <sz val="8"/>
        <rFont val="Arial"/>
        <family val="2"/>
        <charset val="186"/>
      </rPr>
      <t>euro)</t>
    </r>
  </si>
  <si>
    <r>
      <t>Kopā
(</t>
    </r>
    <r>
      <rPr>
        <i/>
        <sz val="8"/>
        <rFont val="Arial"/>
        <family val="2"/>
        <charset val="186"/>
      </rPr>
      <t>euro)</t>
    </r>
  </si>
  <si>
    <t>Darbietilpība
(c/h)</t>
  </si>
  <si>
    <t>Kooltherm K5 vai ekvivalents,  λ=0,021W/mK, b=70mm.</t>
  </si>
  <si>
    <t>Esošo silikātu ķieģeļu k-ciju šķunīšu demontāža</t>
  </si>
  <si>
    <t>Ēka nr.1</t>
  </si>
  <si>
    <t>Ēka nr.2</t>
  </si>
  <si>
    <t>Ēka nr.2 Mazā</t>
  </si>
  <si>
    <t>Ēka nr.1 Lielā</t>
  </si>
  <si>
    <t>Cokola siltināšanas darbi ēkā nr.2</t>
  </si>
  <si>
    <t>Pagraba siltināšana ēkā nr.2</t>
  </si>
  <si>
    <t>Ārsienu siltināšanas darbi ēkā nr.2</t>
  </si>
  <si>
    <t>Logu nomaiņa, tsk. Lodžijas ēkā nr.2</t>
  </si>
  <si>
    <t>Skrūves</t>
  </si>
  <si>
    <t>Amortizacijas lente</t>
  </si>
  <si>
    <t>Pretondensāta plēves ieklāšana ekvivalents UTACON 150 Armētā polietilēna plēve-starplika</t>
  </si>
  <si>
    <t>plēve</t>
  </si>
  <si>
    <t xml:space="preserve">         Esošās betona šahtu demontāža</t>
  </si>
  <si>
    <t>Gaismas aku betona grīdu remonts.</t>
  </si>
  <si>
    <t>java M100;</t>
  </si>
  <si>
    <t>bloki;</t>
  </si>
  <si>
    <t>Minerālgrunts aizpildījums demontētās šahtas vietā</t>
  </si>
  <si>
    <t>Minerālgrunts fr.0-2.mm</t>
  </si>
  <si>
    <t>Cinkota metāla regulējama žalūzija pagrabā Restes  malas veidotas ar lāseni. Iekšpusē montējams verams logs R6</t>
  </si>
  <si>
    <t>armējums 2×Ø4, b=31mm</t>
  </si>
  <si>
    <t>Keramzītbetona bloku mūra mūrēšana 3Mpa, armējot katrā 3. šuvē, b=400 mm:</t>
  </si>
  <si>
    <t>Jaunu rūpnieciski krāsotu skārda tekņu ar aizsargpārklājumu montēšana, Ø150, komplektā ar stiprinājumiem</t>
  </si>
  <si>
    <t>Jaunu rūpnieciski krāsotu skārda noteku ar aizsargpārklājumu montēšana, Ø150 komplektā ar stiprinājumiem</t>
  </si>
  <si>
    <t>Kanalizācijas sistēmas iekšdarbu trejgabals</t>
  </si>
  <si>
    <t>Ø110/50-45°</t>
  </si>
  <si>
    <t>Iekšējā sadzīves kanalizācija K1, stāvvadi</t>
  </si>
  <si>
    <t>Ø50-45°</t>
  </si>
  <si>
    <t>d75 &gt; Ø75</t>
  </si>
  <si>
    <t>Dn76×9mm</t>
  </si>
  <si>
    <t>Darba apmaksas likme, Eur/st</t>
  </si>
  <si>
    <t>Darba alga, Eur</t>
  </si>
  <si>
    <t>Materiāli, Eur</t>
  </si>
  <si>
    <t>Mehānismi, Eur</t>
  </si>
  <si>
    <t>Kopā, Eur</t>
  </si>
  <si>
    <t>Summa, Eur</t>
  </si>
  <si>
    <t>Ēkas aukstā ūdensapgādes tīkli Ū1, stāvvadi</t>
  </si>
  <si>
    <t>PPR caurules un veidgbali no polipropilēna random kopolimēra paredzēta aukstā ūdens  apgādei, PN10</t>
  </si>
  <si>
    <t>PPR trejgabals ar iekšējo vītni tukšošanas krānu pievienošanai</t>
  </si>
  <si>
    <t>Komunikāciju šahtu atjaunošana</t>
  </si>
  <si>
    <t>3-1-аб2</t>
  </si>
  <si>
    <t>Atskald. āmura noma</t>
  </si>
  <si>
    <t>m/m</t>
  </si>
  <si>
    <t>Е25-М38, Р68</t>
  </si>
  <si>
    <t>Būvgružu novadcaurules noma</t>
  </si>
  <si>
    <t>m/dn</t>
  </si>
  <si>
    <t>A/mašīna</t>
  </si>
  <si>
    <t>m/st</t>
  </si>
  <si>
    <t>Būvgružu konteiners</t>
  </si>
  <si>
    <t>gab.</t>
  </si>
  <si>
    <t>E6-M3, E9-78, бв</t>
  </si>
  <si>
    <t>Kg</t>
  </si>
  <si>
    <t>Vertikālais profils CW-100, l=2,6m</t>
  </si>
  <si>
    <t xml:space="preserve">Horizontālais profils UW-100 </t>
  </si>
  <si>
    <t>Sietiņlente šuvēm</t>
  </si>
  <si>
    <t>Enkurnaglas TDN 6/35</t>
  </si>
  <si>
    <t>Skrūves TN 35mm</t>
  </si>
  <si>
    <t>100gb</t>
  </si>
  <si>
    <t>Dībeļi "K" 6/35</t>
  </si>
  <si>
    <t>E603,664</t>
  </si>
  <si>
    <t>Ģipškartona karkasa krāsošana</t>
  </si>
  <si>
    <t>Grunts</t>
  </si>
  <si>
    <t>Špaktele</t>
  </si>
  <si>
    <t>Krāsa</t>
  </si>
  <si>
    <t>Komunikāciju šahtas priekšējā paneļa demontāža vannas istabas šahtai starpdzīvokļu sienā, 500×2500mm</t>
  </si>
  <si>
    <t>Komunikāciju šahtas priekšējā paneļa atjaunošana vannas istabas šahtai starpdzīvokļu sienā no dubulta ģipškartona metāla konstrukcijā ar špaktelēšanu un  krāsošanu ar mitrumizturīgu krāsu, 500×2500mm</t>
  </si>
  <si>
    <t>Izbūvējamas revīzijas apkalpošanas durtiņas vannas istabas šahtai starpdzīvokļu sienā, 300×300mm</t>
  </si>
  <si>
    <t>Koplietošanas  apkures tīkli ISM 1</t>
  </si>
  <si>
    <t>Ventilis lodveida; t=110 °C; P=8 bar; Dn50; uzstādīšana</t>
  </si>
  <si>
    <t>gab*</t>
  </si>
  <si>
    <t>Ventilis lodveida; t=110 °C; P=8 bar; Dn15; uzstādīšana</t>
  </si>
  <si>
    <t>Automātiskais balansējošais vārsts ASV - I,  Dn25; t=110°C; P=8 bar firmas "Danfoss", uzstādīšana, ieregulēšana</t>
  </si>
  <si>
    <t>Automātiskais balansējošais vārsts ASV - PV Dn25; t=110°C; P=8 bar firmas "Danfoss", uzstādīšana, ieregulēšana</t>
  </si>
  <si>
    <t>Atgaisotājs automātisks, t-110°C, P-9 bar, uzstādīšana</t>
  </si>
  <si>
    <t>Cauruļvada Dn50 termokompensācijas balsts, izbūve caur sienu/ griestiem, hermetizācija, apmetuma un krāsojuma atjaunošana</t>
  </si>
  <si>
    <t>Cauruļvada Dn40 termokompensācijas balsts, izbūve caur sienu/ griestiem, hermetizācija, apmetuma un krāsojuma atjaunošana</t>
  </si>
  <si>
    <t>Cauruļvada Dn32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</si>
  <si>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</si>
  <si>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Dn20 termokompensācijas balsts, izbūve caur sienu/ griestiem, hermetizācija, apmetuma un krāsojuma atjaunošana</t>
  </si>
  <si>
    <t>Cauruļvada Dn15 termokompensācijas balsts, izbūve caur sienu/ griestiem, hermetizācija, apmetuma un krāsojuma atjaunošana</t>
  </si>
  <si>
    <r>
      <t xml:space="preserve">Cauruļvada Dn50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</si>
  <si>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Dn40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</si>
  <si>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Dn32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</si>
  <si>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Dn25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</si>
  <si>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Dn20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</si>
  <si>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r>
      <t xml:space="preserve">Cauruļvada Dn15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</si>
  <si>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t>Metāla konstrukcijas cauruļvadu un iekārtu stiprināšanai</t>
  </si>
  <si>
    <t>Palīgmateriāli</t>
  </si>
  <si>
    <t>Cauruļvadu un metāla konstrukciju gruntēšana ar grunts krāsu GF-020 un krāsošana ar eļļas krāsu</t>
  </si>
  <si>
    <t>Koplietošanas  apkures tīkli ISM 2</t>
  </si>
  <si>
    <t>Ventilis lodveida; t=110°C; P=8 bar; Dn65; uzstādīšana</t>
  </si>
  <si>
    <t>Ventilis lodveida; t=110°C; P=8 bar; Dn15; uzstādīšana</t>
  </si>
  <si>
    <t>Cauruļvada Dn65 termokompensācijas balsts, izbūve caur sienu/ griestiem, hermetizācija, apmetuma un krāsojuma atjaunošana</t>
  </si>
  <si>
    <r>
      <t xml:space="preserve">Cauruļvada Dn65 siltumizolācijas čaula, b=&gt;50 mm,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186"/>
      </rPr>
      <t>= 0.040 W/K×m², caurules siltumizolēšana</t>
    </r>
  </si>
  <si>
    <t>Apkures sistēmas ieregulēšana pārbaude un 
nodošana ekspluatācijā</t>
  </si>
  <si>
    <t>Dzīvokļu siltuma uzskaites mezgls (pavisam uzstāda 86 dzīvokļos)</t>
  </si>
  <si>
    <t>Ventilis lodveida; t=110°C; P=8 bar; Dn15</t>
  </si>
  <si>
    <t>Netīrumu savācējs; t=110°C; P=8 bar; Dn15</t>
  </si>
  <si>
    <t>Apkures sistēmas ieregulēšana pārbaude un nodošana ekspluatācijā</t>
  </si>
  <si>
    <t>Kāpņu telpas apkure</t>
  </si>
  <si>
    <t>Cauruļvada Dn15 siltumizolācijas čaula, b=&gt;30 mm, caurules siltumizolēšana</t>
  </si>
  <si>
    <t>Cauruļvada Dn15 slīdošais balsts, izbūve caur sienu/ griestiem, hermetizācija, apmetuma un krāsojuma atjaunošana</t>
  </si>
  <si>
    <t>Divistabu dzīvoklim Nr 3;6;9;12;31;34;37;40</t>
  </si>
  <si>
    <t>Vara caurules, pagrieziens 90°, Dn15, montāža</t>
  </si>
  <si>
    <t>Vara caurules, trejgabals Dn15, montāža</t>
  </si>
  <si>
    <t>Cauruļvada Dn15 termokompensējošs balsts, izbūve caur sienu, hermetizācija, apmetuma un krāsojuma atjaunošana</t>
  </si>
  <si>
    <t>Grīdas seguma uzlaušana, atjaunošana 0.2 m² platībā</t>
  </si>
  <si>
    <t>Apkures sistēmas ieregulēšana pārbaude un 
nodošana ekspluatācijā.</t>
  </si>
  <si>
    <t>Vienistabu dzīvoklim Nr 4;7;10;13;18;21;24;27;32;35;38;41;76;79;82;85</t>
  </si>
  <si>
    <t>Trīsistabu dzīvoklim Nr 1;29</t>
  </si>
  <si>
    <t>Trīsistabu dzīvoklim Nr 44;46;48;50;52</t>
  </si>
  <si>
    <t>Divistabu dzīvoklim Nr 75;78;81;84</t>
  </si>
  <si>
    <t>Trīsistabu dzīvoklim Nr 73</t>
  </si>
  <si>
    <t>Trīsistabu dzīvoklim Nr 2;5;8;11;14;53;57;61;65;69</t>
  </si>
  <si>
    <t>Divistabu dzīvoklim Nr 55;59;63;67;71</t>
  </si>
  <si>
    <t>Trīsistabu dzīvoklim Nr 16;19;22;25;28;74;77;80;83;86</t>
  </si>
  <si>
    <t>Četristabu dzīvoklim Nr 45;47;49;51</t>
  </si>
  <si>
    <t>Trīsistabu dzīvoklim Nr 30;33;36;39;42</t>
  </si>
  <si>
    <t>Divistabu dzīvoklim Nr 54;58;62;66;70</t>
  </si>
  <si>
    <t>Trīsistabu dzīvoklim Nr 56;60;64;68;72</t>
  </si>
  <si>
    <t>Trīsistabu dzīvoklim Nr 15;43</t>
  </si>
  <si>
    <t>Divistabu dzīvoklim Nr 17;20;23;26</t>
  </si>
  <si>
    <t>Apkures sistēmas demontāžas darbi t.sk. sildķermeņi, veidgbali, siltumizolācija un stirpinājumi</t>
  </si>
  <si>
    <t>kompl.</t>
  </si>
  <si>
    <t>Tāme sastādīta 2018.gada tirgus cenās, pamatojoties uz:</t>
  </si>
  <si>
    <t>Daudzdzīvokļu dzīvojamās mājas Aisteres iela 7, Liepāja vienkāršotā atjaunošana</t>
  </si>
  <si>
    <t>Pāreja pieslēgumam no bēniņiem līdz sadzīves kanalizācijas izvadam</t>
  </si>
  <si>
    <t>Sadzīves kanalizācijas caurules pāreja S20 Ø75-Ø110,  PPHT atbilst LVS EN 1451-1</t>
  </si>
  <si>
    <t>Sadzīves kanalizācijas caurule S20 PPHT atbilst LVS EN 1451-1</t>
  </si>
  <si>
    <t>Sadzīves kanalizācijas caurules pretkondensāta izolācija 13mm</t>
  </si>
  <si>
    <t>110 lokanā pārejas caurule ventilācijas izvada savienojumam ar 110 mm diametra kanalizācijas izvadu.</t>
  </si>
  <si>
    <t>Siltināts ventilācijas izvads virs jumta, komplektā ar pieskaņotu pamatni (pieslēguma elements) jumta segumam un tā hermatizāciju ekvivalnets vilpe 110/200/H ventilācijas siltināts izvads + jumtiņš</t>
  </si>
  <si>
    <t>Jaunu rūpnieciski krāsotu skārda tekņu ar aizsargpārklājumu montēšana, Ø150, komplektā ar stiprinājumiem-tekņu āķiem un citeim veidgabaliem</t>
  </si>
  <si>
    <t>Jaunu rūpnieciski krāsotu skārda noteku ar aizsargpārklājumu montēšana, Ø150 komplektā ar stiprinājumiem un veidgabaliem</t>
  </si>
  <si>
    <t>Ūdens notekas aizsargs - cinkots no būvkalumiem</t>
  </si>
  <si>
    <t>Tvaika plēves, b=0,2 mm, ieklāšana</t>
  </si>
  <si>
    <t>Apmetuma sistēma virs siltinājuma (AS-1 vai AS-2)
Siltinājums - akmensvate (Technofacade Cottage vai ekvivalents)  λ=0,036W/m²K  b=150mm, Līmjava, Grunts, Esošā siena - vieglbetona panelis b=250mm</t>
  </si>
  <si>
    <t xml:space="preserve"> Apmetuma sistēma virs siltinājuma (AS-1 vai AS-2) siltinājums - akmensvate (Technofacade Cottage vai ekvivalents) λ=0,036W/m²K b=150mm, Līmjava, Grunts, Esošā siena - vieglbetona paneļi   b=410mm, vai lodžiju sānu paneļi                 b=160mm</t>
  </si>
  <si>
    <t>Esošs dzelzsbetona lodžijas panelis, Gruntējums, Līmjava             Siltinājums -akmens vate (Technofacade Optima vai ekvivalents; λ=0,037W/mK) b=50mm,  (dobuma vietā - 2x50mm)</t>
  </si>
  <si>
    <t>Pārsegumu siltumizolāc. beramā akmensvate, ekvivalents Paroc BLT 9  λ=0,041W/mK, b= 400mm (ieskaitot sablīvēšanas koef.1.1); tvaika izolācijas plēve, b=0,2mm; esoša cementa java, b=50mm; esošs fibrolīta plātņu slānis, b=~150mm; esošas hidroizolācijas slānis; esošais dz-betona pārsegums,b=220mm</t>
  </si>
  <si>
    <t>Beramās akmens vates ieklāšana, ekvivav.Paroc BLT9, b=350 mm</t>
  </si>
  <si>
    <t>,</t>
  </si>
  <si>
    <t>Lodžiju iekšējās pamata un sānu plaknes pārklašana ar homogēno apmetumu pēc šķēluma S5 un S5a</t>
  </si>
  <si>
    <t>Atvērumu Ø120*mm izveide garensienās paredzamā ventilācijas vārsta ar termostata montāžai Ø100</t>
  </si>
  <si>
    <t>Siets stikla šķiedras divās kārtās</t>
  </si>
  <si>
    <t>Lodžiju norobežojošo margu-sendviča paneļu montāža ar iespēju izmantot standarta paneļu toņu pārklājumu</t>
  </si>
  <si>
    <t>Ventilācijas atvērumu Ø110*mm izveide un vārstu Ø100 montāža sendviča tipa margās</t>
  </si>
  <si>
    <r>
      <t xml:space="preserve">Siltumizolācijas akmensvates lameļu līmēšana pie pārseguma apakšas (Rockwoll Fasrock G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204"/>
      </rPr>
      <t>≤0,037 W/m×K vai ekvivalents), b=150mm</t>
    </r>
  </si>
  <si>
    <t>Būvkalumi, stiprinājumi, naglas skrūves un citi palīgmateriālu elementi</t>
  </si>
  <si>
    <r>
      <t xml:space="preserve"> </t>
    </r>
    <r>
      <rPr>
        <b/>
        <sz val="8"/>
        <rFont val="Arial"/>
        <family val="2"/>
        <charset val="186"/>
      </rPr>
      <t>BK</t>
    </r>
  </si>
  <si>
    <t>BK</t>
  </si>
  <si>
    <t xml:space="preserve">Antisept.koka spāru 50x200, l=1,1m, uzstādīšana, 125 gb; (būvkalumi pie sienas un brusas) </t>
  </si>
  <si>
    <t xml:space="preserve">Būvkalumi 80x80x80x2,5  -  2 gab uz spāri </t>
  </si>
  <si>
    <t>Antisept.koka spāru 50x200, l=1,5m, uzstādīšana, 4 gb uz katru zonu; kopā 16 gb</t>
  </si>
  <si>
    <t xml:space="preserve">Būvkalumi 80x80x80x2,5 pie gāzbetona mūra; 1 gb uz spāri </t>
  </si>
  <si>
    <t>Būvkal. 80x140x80x2,5spāru savienošanai; 1 gb uz spāri  pāri</t>
  </si>
  <si>
    <t>Antisep.koka spāru 50x200, l=1,1m, uzstādīšana, 60 gb, (būvkalumi pie sienas un brusas)</t>
  </si>
  <si>
    <t>Būvkalumi 80x80x80x2,2 - 2 gab uz spāri</t>
  </si>
  <si>
    <t>Antisep.koka spāru 50x200, l=1,5m, uzstādīšana; 4 gb uz katru zonu; ēkā 2 gab; kopā 8 gab</t>
  </si>
  <si>
    <t>Būvkalumi 80x80x80x2,2 - 1 gab uz spāri</t>
  </si>
  <si>
    <t>Būvkal.80x140x80x2,2 spāru savienoš., 1 gb uz spāri pāri</t>
  </si>
  <si>
    <t xml:space="preserve">   * divas seguma kārtas: </t>
  </si>
  <si>
    <t xml:space="preserve">   divkārtu jumta segums:</t>
  </si>
  <si>
    <t>Mitruma izturīga finiera plātņu, b=22, nostiprināšana uz spārēm</t>
  </si>
  <si>
    <t>Mitruma izturīgā finiera plātņu, b=22, nostiprināšana uz spārēm</t>
  </si>
  <si>
    <t>Komunikāciju šahtas priekšējā paneļa daļēja demontāža vannas istabas šahtai koridora sienā, 500×600mm</t>
  </si>
  <si>
    <t>Komunikāciju šahtas priekšējā paneļa daļēja atjaunošana vannas istabas šahtai koridora sienā no dubulta ģipškartona metāla konstrukcijā ar špaktelēšanu un  krāsošanu ar mitrumizturīgu krāsu, 500×600mm</t>
  </si>
  <si>
    <t xml:space="preserve">Antiseptizētas koka brusas 100x200(h) enkurošana garenvirzienā, l=106m;16 vietās, l=1m, lodžiju galos; L=122 m </t>
  </si>
  <si>
    <t>Siltinātā lodžiju jumtiņa pieslēgums pie ārsienas (mezgls lapā BK-6), kop.L=110 m (pie 106 m pieskaitot malu.siltināumu):</t>
  </si>
  <si>
    <t xml:space="preserve">   </t>
  </si>
  <si>
    <t xml:space="preserve">   * papildus segums pie sienas pieslēguma, kop.b=0.65+0.45 m, L=110 m</t>
  </si>
  <si>
    <t>Siltinātu jumtiņu (4 gab) izbūve virs 5.stāva dzīvokļiem lodžiju zonā (norādes skat. Lapā BK-6)</t>
  </si>
  <si>
    <t xml:space="preserve">   * papildus segums pie sienas pieslēguma, kop.b=0.65+0.45 m, L=16 m</t>
  </si>
  <si>
    <t>Parapeta apšuvums ar skārdu, b=0,7 m, rūpīgi aplocīts, tonis pēc AR rasējumos noteiktā</t>
  </si>
  <si>
    <t>Siltinātu jumtiņu izbūve virs 5.stāva lodžijām (norādes skat. lapā BK-5, BK-6)</t>
  </si>
  <si>
    <t xml:space="preserve">   * papildus segums pie sienas pieslēguma, kop.b=0.65+0.45 m, L=51 m</t>
  </si>
  <si>
    <t>Siltinātu jumtiņu izbūve virs 5.stāva dzīvokļiem lodžiju zonā (norādes skat.lapā BK-5, BK-6)</t>
  </si>
  <si>
    <t>Esošās ruberoīda virsmas notīrīšana no gružiem, izlīdzināšana pēc izvērtējuma, kop.L=3,52x2=7 m, b=1.2</t>
  </si>
  <si>
    <t>Skārda apšuvuma noņemšana no lodžijas jumta paneļa priekš- un sānu malām, b=300, kop.L=61 m</t>
  </si>
  <si>
    <t>Skārda apšuvuma noņemšana no lodžijas jumta paneļa priekš- un sānu malām, b=300, kop.L=12 m</t>
  </si>
  <si>
    <t xml:space="preserve">Antiseptizētas koka brusas 100x200(h) enkurošana pie jumta,  L=51 m+sānu malas=61 m </t>
  </si>
  <si>
    <t>Siltinātā dzīvokļu jumtiņa pieslēgums pie ārsienas (mezgls lapā BK-6), kop.L=7 m+ malu siltin.=8 m:</t>
  </si>
  <si>
    <t xml:space="preserve">   * papildus segums pie sienas pieslēguma, kop.b=0.65+0.45 m, L=8 m</t>
  </si>
  <si>
    <t>skatīt specifikāciju AR-13</t>
  </si>
  <si>
    <t xml:space="preserve">   * kārbveida tērauda sijas 60x100(h)x4, l=3,04 m,ekv.EN 10219, 1 gb uz lodž., 18 lodžijas</t>
  </si>
  <si>
    <t>pavisam 8 šādi dzīvokļi</t>
  </si>
  <si>
    <t>pavisam  16 šādi dzīvokļi</t>
  </si>
  <si>
    <t>pavisam 2 šādi dzīvokļi</t>
  </si>
  <si>
    <t>pavisam  5 šādi dzīvokļi</t>
  </si>
  <si>
    <t>pavisam 4 šādi dzīvokļi</t>
  </si>
  <si>
    <t>pavisam  1 šāds dzīvokis</t>
  </si>
  <si>
    <t>pavisam  10 šādi dzīvokļi</t>
  </si>
  <si>
    <t>pavisam 5 šādi dzīvokļi</t>
  </si>
  <si>
    <t>pavisam  4 šādi dzīvokļi</t>
  </si>
  <si>
    <t>pavisam  5  šādi dzīvokļi</t>
  </si>
  <si>
    <t>pavisam  2 šādi dzīvokļi</t>
  </si>
  <si>
    <t>Sienas paneļa montāža b=120mm Siltumizolācijas ķim sastāvs PUR poliuretāns lambda 0,023 Bs2 do. Metāla biezums iekšējā/ārējā mm 0,4/0,5. Tērauda marka S280 GD. Cinks tēraudam gr/m² 225-275. Izolācijas paneļa Izstrādājuma svars kg/m² ~12. Ārējais pārklājums: PES/RAL atbilstoši krāsu pasei 25 mikr. Iekšpuses pārklājums: PES RAL 9002. Siltumpretestības vērtība W(m²×K): 0,18. Siltumvadītspējas koeficients w/m×k 0,023. Ārējā ugunsizturība: Bs2-do. Uguns noturība EI15. Skaņas izolācija db 26,</t>
  </si>
  <si>
    <t>Logu un durvju aiļu ārējo stūru armēšana ar sietu papildus sietu 0,3×0,5m no ailes un ailē (ekviv. Valmieras E-stikls) stiepes izturība &gt;200N/5cm, Struktūras stabilitāte &gt;22%, Atbilst REACH , sieta acojuma lielums 4×4mm.</t>
  </si>
  <si>
    <t>Atbilstoši pecifikācijas lapai AR-12i</t>
  </si>
  <si>
    <t>Sendviča paneļu montāžas palīgmateriāli uz  apjomu</t>
  </si>
  <si>
    <t>Iekštelpu sienu atjaunošanas apdares darbi ap logu ailēm 0,1m</t>
  </si>
  <si>
    <t>Jaunu iekšējo PVC palodžu montāža nomainajamiem logiem 0,15m platumā</t>
  </si>
  <si>
    <t>Zibensaizsardzība māja nr.1</t>
  </si>
  <si>
    <t>Zibensaizsardzība māja nr.2</t>
  </si>
  <si>
    <t>ELT</t>
  </si>
  <si>
    <t>Zibensaizsardzība</t>
  </si>
  <si>
    <t>Pasīvs, izolēts zibens uztvērējs Al 3000, ø 10 mm</t>
  </si>
  <si>
    <t>Pasīvs zibens uztvērējs Al 1500 mm, ø 16 mm, vītne M16, firmas ELKO-BIS vai ekvivalents</t>
  </si>
  <si>
    <t>Pasīvs zibens uztvērējs Al 2000 mm, ø 16 mm, vītne M16, firmas ELKO-BIS vai ekvivalents</t>
  </si>
  <si>
    <t>Zibens uztvērēja pamatne jumta korē, stiprināma ar skrūvēm, Elko-BIS vai ekvivalents</t>
  </si>
  <si>
    <t>Zibens uztvērēja pamatne jumta plaknē, stiprināma ar skrūvēm, Elko-BIS vai ekvivalents</t>
  </si>
  <si>
    <t>Kronšteins uztvērēja stāvokļa korekcijai, M16, Elko-BIS vai ekvivalents</t>
  </si>
  <si>
    <t xml:space="preserve">Stieple Al, ø 8 mm, </t>
  </si>
  <si>
    <t xml:space="preserve">Stieple Al, ø 10 mm, </t>
  </si>
  <si>
    <t xml:space="preserve">Lenta St/Zn, 3,0×30 mm, </t>
  </si>
  <si>
    <t>Kabelis Cu 1×25 mm²</t>
  </si>
  <si>
    <t xml:space="preserve">Kronšteins stieples montāžai uz jumta </t>
  </si>
  <si>
    <t>gb.*</t>
  </si>
  <si>
    <t xml:space="preserve">Kronšteins caurules montāžai uz sienas </t>
  </si>
  <si>
    <t xml:space="preserve"> Zemēšanas elektrods ø 20 mm, l-1,5 m, apaļdzelzs</t>
  </si>
  <si>
    <t xml:space="preserve"> Kontūra pievienojuma klemme JAB 5</t>
  </si>
  <si>
    <t xml:space="preserve"> Elektrodu uzmava</t>
  </si>
  <si>
    <t xml:space="preserve"> Kontūra mērklemme ar kasti</t>
  </si>
  <si>
    <t xml:space="preserve">Savienotāj klemme </t>
  </si>
  <si>
    <t>Savienotāj klemme ar barjeru</t>
  </si>
  <si>
    <t>PE lenta iezīmēšanai</t>
  </si>
  <si>
    <t>Tranšejas rakšana un aizbēršana zemējuma kontūram</t>
  </si>
  <si>
    <t>Elektrodu ø 20 mm, l= 1,5 m iedzīšana zemē</t>
  </si>
  <si>
    <t>Zemāšanas kon. guldīšana tranšejā, montāža pie elektrodiem</t>
  </si>
  <si>
    <t xml:space="preserve"> Zemējuma kontūra ierīkošana, mērījumi</t>
  </si>
  <si>
    <t>Zemes virskārtas atjaunošana</t>
  </si>
  <si>
    <t xml:space="preserve"> Šķērsojums ar inženiertehniskajiem tīkliem</t>
  </si>
  <si>
    <t>Grunts blietēšana</t>
  </si>
  <si>
    <t>Sistēmas montāža, palaišana</t>
  </si>
  <si>
    <t>Sistēmas nodošana ekspluatācijā</t>
  </si>
  <si>
    <t>Skrūvējamo nipeļu nostirpināšana</t>
  </si>
  <si>
    <t>PVC nosegas 50*15. Stiprinās ar skrūvējamiem nipeļiem uz kuriem nostirpina nosegu</t>
  </si>
  <si>
    <r>
      <t xml:space="preserve">Siltumizolācijas akmensvates lameļu līmēšana pie pārseguma apakšas 
(Rockwoll Fasrock G </t>
    </r>
    <r>
      <rPr>
        <sz val="8"/>
        <rFont val="Symbol"/>
        <family val="1"/>
        <charset val="2"/>
      </rPr>
      <t>l</t>
    </r>
    <r>
      <rPr>
        <sz val="8"/>
        <rFont val="Arial"/>
        <family val="2"/>
        <charset val="204"/>
      </rPr>
      <t>≤0,037 W/m×K vai ekvivalents), b=150mm</t>
    </r>
  </si>
  <si>
    <t xml:space="preserve">Priedes G4-0/G4-2 šķira C24, antiseptizētas </t>
  </si>
  <si>
    <t>Antiseptizētas koka kopnes. KOKA KLASE C24 koka klase c24</t>
  </si>
  <si>
    <r>
      <t>Lodžiju remontdarbi ēkai nr.</t>
    </r>
    <r>
      <rPr>
        <b/>
        <sz val="8"/>
        <rFont val="Arial"/>
        <family val="2"/>
        <charset val="186"/>
      </rPr>
      <t>2 - labots ēkas numurs</t>
    </r>
  </si>
  <si>
    <t>Veicamo darbu apjomi lodžiju iestiklošanas detaļu ierīkošanai. Ēka Nr.1 skatītlapu  BK-9.</t>
  </si>
  <si>
    <t>Lodžiju iestiklojuma metāla detaļas, nesošo sienu solis s=6,4 m:</t>
  </si>
  <si>
    <r>
      <t>Lodžiju iestiklojuma metāla detaļas, nesošo sienu solis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>s=3,2 m: skatīt BK-9.</t>
    </r>
  </si>
  <si>
    <t xml:space="preserve">   * plakantērauda atbalstdetaļas -10x100x200(h), 2 gab uz siju, 36 gb</t>
  </si>
  <si>
    <t xml:space="preserve">   * ķīļenkuri Ø12, l=80, 2 gab uz detaļu; 36 det.x2</t>
  </si>
  <si>
    <r>
      <t>Lodžiju remontdarbi ēkai nr</t>
    </r>
    <r>
      <rPr>
        <b/>
        <sz val="8"/>
        <rFont val="Arial"/>
        <family val="2"/>
        <charset val="186"/>
      </rPr>
      <t>1 (lielā) - labots ēkas numurs!</t>
    </r>
  </si>
  <si>
    <t>Veicamo darbu apjomi lodžiju iestiklošanas detaļu ierīkošanai. Ēka Nr.2. Skatīt BK-9</t>
  </si>
  <si>
    <r>
      <t>Lodžiju iestiklojuma metāla detaļas, nesošo sienu solis s=</t>
    </r>
    <r>
      <rPr>
        <b/>
        <sz val="8"/>
        <rFont val="Arial"/>
        <family val="2"/>
        <charset val="186"/>
      </rPr>
      <t>6,4 m</t>
    </r>
    <r>
      <rPr>
        <b/>
        <sz val="8"/>
        <rFont val="Arial"/>
        <family val="2"/>
        <charset val="204"/>
      </rPr>
      <t>:</t>
    </r>
  </si>
  <si>
    <r>
      <t>Lodžiju iestiklojuma metāla detaļas, nesošo sienu solis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>s=3,2 m:</t>
    </r>
  </si>
  <si>
    <t>Akmens vates siltinājums, enkurots pie ārsienas gar jumtiņu, ekviv.Linio 15, b=150, h=150</t>
  </si>
  <si>
    <t>Antiseptizētas koka kopnes. KOKA KLASE C24koka klase c24</t>
  </si>
  <si>
    <t>Jumta konstrukciju demontāžas darb. Parapetu izbūve. Ēka Nr.2 t.sk. visu elementu atbilstoša utilizācija</t>
  </si>
  <si>
    <t>Dzelzsbetona jumtiņu, 0,3x6,3 m, demontāža, 18 gab, svars  0,31 T, skat.lapu BK-3</t>
  </si>
  <si>
    <t>Delzsbetona jumta paneļu, 3,2x5,5 m, demontāža, 20 gab, svars 3 T, skat.lapu BK-3</t>
  </si>
  <si>
    <t>Delzsbetona jumta tekņu, 1,6x6,4 m, demontāža, 4 gab, svars 4,58 T, skat.lapu BK-3</t>
  </si>
  <si>
    <t>Delzsbetona jumta tekņu, 1,6x3,2 m, demontāža, 2 gab, svars 2,4 T, skat.lapu BK-3</t>
  </si>
  <si>
    <t>Demontējamas betona vēdināšanas izvadu caurules, Ø300, l=2 m, skat.lapu BK-3</t>
  </si>
  <si>
    <t>Demontējami atkritumu vadi, Ø500, (bēniņos un virs jumta Ø300); H=16 m, skat.lapu BK-3</t>
  </si>
  <si>
    <t>Nozāģējamas gāzbetona paneļu galasienas līdz parapeta līmenim, 0,71 m³ x2 - 2 (sienas), skat.lapu BK-7</t>
  </si>
  <si>
    <t>Demontējami gāzbetona garensienu augšējie paneļi, h=1,8 m, b=250, kop.L=64,2m ; skat.lapu BK-4</t>
  </si>
  <si>
    <t>Nozāģējami dzelzsbetona kontrforsi pie garensienām, 14 gab, no h=1.8 m līdz 0.93 m, 0.063m³ uz 1 elem.,lapa BK-4</t>
  </si>
  <si>
    <t>Galasienu parapeta izbūve un apdare (siltināts parapets - 24 m): skat.lapu BK-5, BK-7</t>
  </si>
  <si>
    <t>Putupoliuretāna siltinājums, b=200, B=1.1m, L=51m</t>
  </si>
  <si>
    <t>Lodžijas jumta priekšmalas siltināšana ar apdari; (lodžiju vertikālo sānu siltināšanu un apdari .sk.AR daļā):</t>
  </si>
  <si>
    <t xml:space="preserve">   * akmens vates siltinājums uz ārsienas gar jumtiņu, ekv. Linio 15, b=150, h=300</t>
  </si>
  <si>
    <t>Putupoliuretāna siltinājums, b=200, uz dzīvokļu jumtiņiem, 7 m² platībā</t>
  </si>
  <si>
    <t xml:space="preserve">   * akmens vates, ekv.Linio15, siltinājums uz ārsienas gar jumtiņu, b=150, h=300</t>
  </si>
  <si>
    <r>
      <t xml:space="preserve">Jumta konstrukciju demontāžas darbi. Parapetu izbūve. Ēka Nr.1, </t>
    </r>
    <r>
      <rPr>
        <sz val="8"/>
        <rFont val="Arial"/>
        <family val="2"/>
        <charset val="186"/>
      </rPr>
      <t>t.sk. visu elementu atbilstoša utilizācija</t>
    </r>
  </si>
  <si>
    <r>
      <t xml:space="preserve">Dzelzsbetona jumtiņu, 0,3x6,3 m, demontāža, 26 gab, svars  0,31 T, skat..lapu </t>
    </r>
    <r>
      <rPr>
        <sz val="8"/>
        <rFont val="Arial"/>
        <family val="2"/>
        <charset val="186"/>
      </rPr>
      <t>BK-3</t>
    </r>
  </si>
  <si>
    <r>
      <t xml:space="preserve">Delzsbetona jumta paneļu, 3,2x5,5 m, demontāža, 35 gab, svars 3 T, skat.lapu </t>
    </r>
    <r>
      <rPr>
        <sz val="8"/>
        <rFont val="Arial"/>
        <family val="2"/>
        <charset val="186"/>
      </rPr>
      <t>BK-3</t>
    </r>
  </si>
  <si>
    <r>
      <t xml:space="preserve">Delzsbetona jumta tekņu, 1,6x6,4 m, demontāža, 8 gab, svars 4,58 T, skat.lapu </t>
    </r>
    <r>
      <rPr>
        <sz val="8"/>
        <rFont val="Arial"/>
        <family val="2"/>
        <charset val="186"/>
      </rPr>
      <t>BK-3</t>
    </r>
  </si>
  <si>
    <r>
      <t xml:space="preserve">Delzsbetona jumta tekņu, 1,6x3,2 m, demontāža, 4 gab, svars 2,4 T, skat.lapu </t>
    </r>
    <r>
      <rPr>
        <sz val="8"/>
        <rFont val="Arial"/>
        <family val="2"/>
        <charset val="186"/>
      </rPr>
      <t>BK-3</t>
    </r>
  </si>
  <si>
    <r>
      <t xml:space="preserve"> Demontējamas </t>
    </r>
    <r>
      <rPr>
        <sz val="8"/>
        <rFont val="Arial"/>
        <family val="2"/>
        <charset val="186"/>
      </rPr>
      <t>pagaidu koka atbalstkonstrukcijas</t>
    </r>
    <r>
      <rPr>
        <sz val="8"/>
        <rFont val="Arial"/>
        <family val="2"/>
        <charset val="204"/>
      </rPr>
      <t xml:space="preserve"> zem bojātiem jumta paneļiem, skat.norādes lapā </t>
    </r>
    <r>
      <rPr>
        <sz val="8"/>
        <rFont val="Arial"/>
        <family val="2"/>
        <charset val="186"/>
      </rPr>
      <t>BK-4</t>
    </r>
  </si>
  <si>
    <r>
      <t xml:space="preserve">Demontējamas </t>
    </r>
    <r>
      <rPr>
        <sz val="8"/>
        <rFont val="Arial"/>
        <family val="2"/>
        <charset val="186"/>
      </rPr>
      <t>skārda ūdensnoteces teknes pagaidu jumtā</t>
    </r>
    <r>
      <rPr>
        <sz val="8"/>
        <rFont val="Arial"/>
        <family val="2"/>
        <charset val="204"/>
      </rPr>
      <t xml:space="preserve">, </t>
    </r>
    <r>
      <rPr>
        <sz val="8"/>
        <rFont val="Arial"/>
        <family val="2"/>
        <charset val="186"/>
      </rPr>
      <t>L=(6,4mx2+3,2m)=16 m; B=2,25 m</t>
    </r>
    <r>
      <rPr>
        <sz val="8"/>
        <rFont val="Arial"/>
        <family val="2"/>
        <charset val="204"/>
      </rPr>
      <t xml:space="preserve"> (kopā ar uzliekumiem), </t>
    </r>
    <r>
      <rPr>
        <sz val="8"/>
        <rFont val="Arial"/>
        <family val="2"/>
        <charset val="186"/>
      </rPr>
      <t xml:space="preserve">BK-3 </t>
    </r>
  </si>
  <si>
    <r>
      <t>Demontējamas betona vēdināšanas izvadu caurules, Ø300, l=2 m, skat.lapu</t>
    </r>
    <r>
      <rPr>
        <sz val="8"/>
        <rFont val="Arial"/>
        <family val="2"/>
        <charset val="186"/>
      </rPr>
      <t xml:space="preserve"> BK-3</t>
    </r>
  </si>
  <si>
    <r>
      <t xml:space="preserve">Demontējami atkritumu vadi, Ø500, (bēniņos un virs jumta Ø300); H=16 m (ēkas augstums), skat.lapu </t>
    </r>
    <r>
      <rPr>
        <sz val="8"/>
        <rFont val="Arial"/>
        <family val="2"/>
        <charset val="186"/>
      </rPr>
      <t>BK-3</t>
    </r>
  </si>
  <si>
    <r>
      <t xml:space="preserve">Nozāģējamas gāzbetona paneļu galasienas līdz parapeta līmenim; </t>
    </r>
    <r>
      <rPr>
        <sz val="8"/>
        <rFont val="Arial"/>
        <family val="2"/>
        <charset val="186"/>
      </rPr>
      <t>0,71 m³ x8 vietas</t>
    </r>
    <r>
      <rPr>
        <sz val="8"/>
        <rFont val="Arial"/>
        <family val="2"/>
        <charset val="204"/>
      </rPr>
      <t xml:space="preserve">, skat.lapu </t>
    </r>
    <r>
      <rPr>
        <sz val="8"/>
        <rFont val="Arial"/>
        <family val="2"/>
        <charset val="186"/>
      </rPr>
      <t>BK--7</t>
    </r>
  </si>
  <si>
    <r>
      <t>Demontējami gāzbetona garensienu augšējie paneļi, h=1,8 m, b=250; kop.</t>
    </r>
    <r>
      <rPr>
        <sz val="8"/>
        <rFont val="Arial"/>
        <family val="2"/>
        <charset val="186"/>
      </rPr>
      <t>L=157 m, sk.lapu BK-4</t>
    </r>
  </si>
  <si>
    <r>
      <t xml:space="preserve">Demontējami dzelzsbetona kontrforsi (pēc tekņu demontāžas), 20 gab, 1 elementa svars 1 T; skat.lapu </t>
    </r>
    <r>
      <rPr>
        <sz val="8"/>
        <rFont val="Arial"/>
        <family val="2"/>
        <charset val="186"/>
      </rPr>
      <t>BK-4</t>
    </r>
  </si>
  <si>
    <r>
      <t xml:space="preserve">Nozāģējami dzelzsbetona kontrforsi pie garensienām, 36 gab, no h=1.8 m līdz 0.93 m, 0.063m³ un 1 elem.; skat.lapu </t>
    </r>
    <r>
      <rPr>
        <sz val="8"/>
        <rFont val="Arial"/>
        <family val="2"/>
        <charset val="186"/>
      </rPr>
      <t>BK-4</t>
    </r>
  </si>
  <si>
    <r>
      <t>Parapeta izbūve un apdare paneļu galasienām (siltināts parapets - 47,2 m; nesiltināts - 11,5 m): skat.lapu</t>
    </r>
    <r>
      <rPr>
        <sz val="8"/>
        <rFont val="Arial"/>
        <family val="2"/>
        <charset val="186"/>
      </rPr>
      <t xml:space="preserve"> BK-5, BK-7</t>
    </r>
  </si>
  <si>
    <r>
      <t xml:space="preserve">Atbalsta joslas, b=100,  attīrīšana koka brusas enkurošanas vietā </t>
    </r>
    <r>
      <rPr>
        <sz val="8"/>
        <rFont val="Arial"/>
        <family val="2"/>
        <charset val="186"/>
      </rPr>
      <t>(tikai grenvirzienā)</t>
    </r>
  </si>
  <si>
    <r>
      <t>Putupoliuretāna</t>
    </r>
    <r>
      <rPr>
        <sz val="8"/>
        <rFont val="Arial"/>
        <family val="2"/>
        <charset val="204"/>
      </rPr>
      <t xml:space="preserve"> siltinājums, b=200, 1.1 m platā joslā, L=106 m</t>
    </r>
  </si>
  <si>
    <r>
      <t xml:space="preserve">   *</t>
    </r>
    <r>
      <rPr>
        <sz val="8"/>
        <rFont val="Arial"/>
        <family val="2"/>
        <charset val="186"/>
      </rPr>
      <t xml:space="preserve">akmens vates </t>
    </r>
    <r>
      <rPr>
        <sz val="8"/>
        <rFont val="Arial"/>
        <family val="2"/>
        <charset val="204"/>
      </rPr>
      <t xml:space="preserve">siltinājums uz ārsienas gar jumtiņu, ekvivalents </t>
    </r>
    <r>
      <rPr>
        <sz val="8"/>
        <rFont val="Arial"/>
        <family val="2"/>
        <charset val="186"/>
      </rPr>
      <t>Linio 15</t>
    </r>
    <r>
      <rPr>
        <sz val="8"/>
        <rFont val="Arial"/>
        <family val="2"/>
        <charset val="204"/>
      </rPr>
      <t>, b=150, h=300</t>
    </r>
  </si>
  <si>
    <r>
      <t>Putupoliuretāna</t>
    </r>
    <r>
      <rPr>
        <sz val="8"/>
        <rFont val="Arial"/>
        <family val="2"/>
        <charset val="204"/>
      </rPr>
      <t xml:space="preserve"> siltinājums, b=200, uz dzīvokļu jumtiņiem, 14 m² platībā</t>
    </r>
  </si>
  <si>
    <r>
      <t xml:space="preserve">Esošā pārseguma virsmas attīrīšana, gružu izvākšana, </t>
    </r>
    <r>
      <rPr>
        <b/>
        <sz val="8"/>
        <rFont val="Arial"/>
        <family val="2"/>
        <charset val="186"/>
      </rPr>
      <t xml:space="preserve">virsmas izlīdzināšana  </t>
    </r>
  </si>
  <si>
    <r>
      <t xml:space="preserve">Dzelzsbetona pārsegumu notīrīšana, </t>
    </r>
    <r>
      <rPr>
        <sz val="8"/>
        <rFont val="Arial"/>
        <family val="2"/>
        <charset val="186"/>
      </rPr>
      <t>izlīdzināšana</t>
    </r>
    <r>
      <rPr>
        <sz val="8"/>
        <rFont val="Arial"/>
        <family val="2"/>
        <charset val="204"/>
      </rPr>
      <t>, sagatavošana siltināšanai</t>
    </r>
  </si>
  <si>
    <r>
      <t xml:space="preserve">Cokola apmešana ar apmetumu uz minerālšķiedru sieta (b=7mm) un krāsošana </t>
    </r>
    <r>
      <rPr>
        <sz val="8"/>
        <rFont val="Arial"/>
        <family val="2"/>
        <charset val="186"/>
      </rPr>
      <t>pēc sistēmas AS-1, 0,7m augtumā</t>
    </r>
  </si>
  <si>
    <r>
      <t>Veco koka logu un durvju demontāža (ieskaitot esošo lodžiju aizstiklojumu),</t>
    </r>
    <r>
      <rPr>
        <sz val="8"/>
        <rFont val="Arial"/>
        <family val="2"/>
        <charset val="186"/>
      </rPr>
      <t xml:space="preserve"> t.sk. iekšējās un ārējās palodzes</t>
    </r>
  </si>
  <si>
    <t>Durvju un logu aiļu apdare ar akmensvates plātnēm (ekvivalents Paroc Linio 15)  b=30mm, platums~ 0,15m*</t>
  </si>
  <si>
    <t>Lodžiju iekšējās pamata un sānu plaknes pārklašana ar homogēno apmetumu pēc šķēluma S5</t>
  </si>
  <si>
    <t>Sastādīja:</t>
  </si>
  <si>
    <t>būvprakses sertifikāts Nr.:</t>
  </si>
  <si>
    <t>Tāme sastādīta 201__. gada __.____________</t>
  </si>
  <si>
    <t>Finanšu rezerve</t>
  </si>
  <si>
    <t>Tenapors NEO EPS vai ekvivalents 100 λ=0,031 W/m²×K, b=50mm</t>
  </si>
  <si>
    <t xml:space="preserve">Esošs grīdas sastāvs ~b=80mm, Esošais dz-betona pārsegums ~b=220mm, Līmjava, Akmensvates lamele ekvivalents Paroc CGL 20 CY(gruntēts) vai ekvivalents  0,037 W/m²K, b=150mm                  </t>
  </si>
  <si>
    <t>Augšējais segums Bipol EKP vai ekvivalents (4,5 kg/m²), apakšējais segums Bipol EPP vai ekvivalents (3,5 kg/m²); mitruma izturīga OSB plātne - 22; putupoliuretāns starp spārēm 50x150(h), s=900,b=200 mm;  esošs ruberīda segums; esošs lodžijas panelis</t>
  </si>
  <si>
    <t>Stūra profils  EC S vai ekvivalents</t>
  </si>
  <si>
    <t>Loga pielaiduma profils EW vai ekvivalents</t>
  </si>
  <si>
    <t>Stūra lāsenis ED CO2 vai ekvivalents</t>
  </si>
  <si>
    <t>Palodzes montāžas profils EW US01 vai ekvivalents</t>
  </si>
  <si>
    <t>Cokola profils EB PVC VARIO 220 vai ekvivalents</t>
  </si>
  <si>
    <t>Tenapors NEO EPS 100 vai ekvivalents λ=0,031 W/m²×K, b=50mm</t>
  </si>
  <si>
    <t>Ventsys vai ekvivalents svaiga gaisa pieplūdes vārsta montāža visu logu veramās vērtnes blīvgumijā</t>
  </si>
  <si>
    <t xml:space="preserve">  mitrumizturīgā ģipškartona plātne GKBI vai ekvivalents</t>
  </si>
  <si>
    <t>Krāsa ekviv. Ceresit CT 48</t>
  </si>
  <si>
    <t xml:space="preserve"> Siltumizolācija Tenapors Neo EPS 100 vai ekvivalents</t>
  </si>
  <si>
    <t xml:space="preserve">  * gāzbetona bloki Eco Term Plus 300 vai ekvivalents (200x250x600), piezāģēts pēc gabarītiem 200x250x300</t>
  </si>
  <si>
    <t xml:space="preserve">  * Knauf CD profils vai ekvivalents, 60/80, dībeļots pie atvēruma sieniņas apakšējā daļā, l=1,5 m uz atvērumu</t>
  </si>
  <si>
    <t xml:space="preserve">  grunts Korrostop vai ekvivalents</t>
  </si>
  <si>
    <r>
      <t xml:space="preserve">Demontējams Eternit vai ekvivalents lokšņu jumts un koka atbalstkonstrukcijas pagaidu jumta zonā (paneļi demontēti), skat.lapu </t>
    </r>
    <r>
      <rPr>
        <sz val="8"/>
        <rFont val="Arial"/>
        <family val="2"/>
        <charset val="186"/>
      </rPr>
      <t>BK-3</t>
    </r>
  </si>
  <si>
    <t xml:space="preserve">   * lodžijas paneļu priekšējās malas siltinājums ar Linio 15 vai ekvivalents, b=50 mm, h=500* mm, L=106 m </t>
  </si>
  <si>
    <t>Apakšējais segums Bipol EPP vai ekvivalents (3,5 kg/m²), ar uzliekumu uz ārsienas, b=1.55 m; L=106 m</t>
  </si>
  <si>
    <t>Augšējais segums Bipol EKP vai ekvivalents (4,5 kg/m²), ar uzliekumu uz ārsienas, b=1.55; l=106 m</t>
  </si>
  <si>
    <r>
      <t>Akmens vates siltinājum</t>
    </r>
    <r>
      <rPr>
        <sz val="8"/>
        <rFont val="Arial"/>
        <family val="2"/>
        <charset val="204"/>
      </rPr>
      <t>s, ekviv.Linio 15, b=200, h=200*, uz sānu mūra sieniņām, l=8 m</t>
    </r>
  </si>
  <si>
    <r>
      <t xml:space="preserve">   *</t>
    </r>
    <r>
      <rPr>
        <sz val="8"/>
        <rFont val="Arial"/>
        <family val="2"/>
        <charset val="186"/>
      </rPr>
      <t xml:space="preserve"> akmens vates, ekviv.Linio15,</t>
    </r>
    <r>
      <rPr>
        <sz val="8"/>
        <rFont val="Arial"/>
        <family val="2"/>
        <charset val="204"/>
      </rPr>
      <t xml:space="preserve"> siltinājums uz ārsienas gar jumtiņu,  b=150, h=300</t>
    </r>
  </si>
  <si>
    <t>Profilēta jumta skārda lokšņu seguma ieklāšana (PP20 b=0,6mm vai ekvivalents), krāsu tonis pēc AR daļas</t>
  </si>
  <si>
    <t>PP20 vai ekvivalents</t>
  </si>
  <si>
    <t xml:space="preserve">   * lodžijas jumta paneļu priekšējās malas siltinājums ar Linio 15 vai ekvivalents, b=50 mm, h=500* mm, L=51 m </t>
  </si>
  <si>
    <r>
      <t xml:space="preserve">Apakšējais segums Bipol EPP vai ekvivalents (3,5 kg/m²), ar uzliekumu uz ārsienas, b=1.55 m; </t>
    </r>
    <r>
      <rPr>
        <sz val="8"/>
        <rFont val="Arial"/>
        <family val="2"/>
        <charset val="186"/>
      </rPr>
      <t>L=51</t>
    </r>
    <r>
      <rPr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186"/>
      </rPr>
      <t>m</t>
    </r>
  </si>
  <si>
    <r>
      <t xml:space="preserve">Augšējais segums Bipol EKP vai ekvivalents (4,5 kg/m²), ar uzliekumu uz ārsienas, b=1.55; </t>
    </r>
    <r>
      <rPr>
        <sz val="8"/>
        <rFont val="Arial"/>
        <family val="2"/>
        <charset val="186"/>
      </rPr>
      <t>L=51 m</t>
    </r>
  </si>
  <si>
    <t>Akmens vates,ekviv.Linio15, siltinājums, b=200, h=200*, uz sānu mūra sieniņām, l=4 m</t>
  </si>
  <si>
    <t>Apakšējais segums Bipol EPP vai ekvivalents (3,5 kg/m²), ar uzliekumu uz ārsienas, b=1.9 m; L=10 m</t>
  </si>
  <si>
    <t>Augšējais segums Bipol EKP vai ekvivalents (4,5 kg/m²), ar uzliekumu uz ārsienas, b=1.9; l=10 m</t>
  </si>
  <si>
    <t>Rūpnieciski izgatavotu plātņu, ekviv. SIA "Skati", montēšana uz izlīdzinātas atbalstsienas virsmas</t>
  </si>
  <si>
    <t>CERESIT CD30 (25kg) patēriņš aptuveni 1,7 kg/m² vai ekvivalents</t>
  </si>
  <si>
    <t>CERESIT CD25 (25kg) patēriņš aptuveni 2,0 kg/m²/mm vai ekvivalents</t>
  </si>
  <si>
    <t>Papildus seguma kārta Bipol EPP vai ekvivalents (3,5 kg/m²), uz dzegas, b=300mm, l=12.8 m</t>
  </si>
  <si>
    <t>Bipol EPP vai ekvivalents (3,5 kg/m²),</t>
  </si>
  <si>
    <t xml:space="preserve">   * lodžijas paneļu apakšējās betona virsmas atjaunošanas pēc Sakret vai ekvivalents tehnoloģijas - veicamo apjomu izvērtēt pēc vietas</t>
  </si>
  <si>
    <t xml:space="preserve">   * lodžijas paneļu apakšējās betona virsmas atjaunošana pēc Sakret vai ekvivalents tehn. veicamo apjomu izvērtēt pēc vietas </t>
  </si>
  <si>
    <t xml:space="preserve">   * lodžijas paneļu apakšējās betona virsmas atjaunošanas pēc Sakret vai ekvivalents tehnoloģijas -veicamo apjomu izvērtēt pēc vietas</t>
  </si>
  <si>
    <t>Automātiskais balansējošais vārsts ASV-I, Dn25; t=110°C; P=8 bar firmas "Danfoss" vai ekvivalents, uzstādīšana, ieregulēšana</t>
  </si>
  <si>
    <t>Automātiskais balansējošais vārsts ASV-PV Dn25; t=110°C; P=8 bar firmas "Danfoss" vai ekvivalents, uzstādīšana, ieregulēšana</t>
  </si>
  <si>
    <t xml:space="preserve">Balansējošais vārsts ASV-M; firmas Danfoss Dn15 vai ekvivalents; uzstādīšana, ieregulēšana </t>
  </si>
  <si>
    <t xml:space="preserve">Balansējošais vārsts ASV-P; firmas Danfoss" Dn15 vai ekvivalents; uzstādīšana, ieregulēšana </t>
  </si>
  <si>
    <t>Vēdināšanas komplekts Fresh 100 Thermo vai ekvivalents, Ø 102mm (R3), ar termovārstu, montāža ārsienas panelī</t>
  </si>
  <si>
    <t>Vēdināšanas komplekts Fresh 100 Thermo vai ekvivalents, Ø 102mm (R1), bez termovārsta, montāža  iekšsienas panelī</t>
  </si>
  <si>
    <t>Vēdināšanas komplekts Fresh 100 Thermo vai ekvivalents, Ø 102mm (R2), ar termovārstu, montāža sendvičpaneļa ārsienā ar nepieciešamā atvēruma izveidi</t>
  </si>
  <si>
    <t>Ģipškartona plāksne "Knauf" White vai ekvivalents,  12,5×1200×2500mm</t>
  </si>
  <si>
    <t>Špaktele Uniflott vai ekvivalents</t>
  </si>
  <si>
    <t>Vertikālais profils CW-100 , l=2,6m</t>
  </si>
  <si>
    <t>PE caurule, ø 12 mm, ELKO-BIS vai ekvivalents</t>
  </si>
  <si>
    <t xml:space="preserve">Tērauda radiatori firmas "Purmo" PC 22 vai ekvivalents; h=900 mm
N=1550 W; l=800;70/50/16 °C; komplektā ar:
automātisko atgaisotāju un uzstādīšanas mezglu </t>
  </si>
  <si>
    <t xml:space="preserve">Tērauda radiatori firmas "Purmo" PC 22 vai ekvivalents; h=500 mm
N=852 W; l=700;70/50/16°C; komplektā ar:
automātisko atgaisotāju un uzstādīšanas mezglu </t>
  </si>
  <si>
    <t xml:space="preserve">Tērauda radiatori firmas "Purmo" PC 22 vai ekvivalents; h=600 mm
N=848 W; l=600;70/50/16°C; komplektā ar:
automātisko atgaisotāju un uzstādīšanas mezglu </t>
  </si>
  <si>
    <t>Termoregulators (vārsts) firmas Danfoss AR 1/2" RA-N 15 vai ekvivalents ar termostatisko sensoru RAS-C 5023 vai ekvivalents, t-120°C, P-10 bar, DP- 0.6 bar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</si>
  <si>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</si>
  <si>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Slēdzams metāla skapis (siltuma skaitītāja uzstādīšanai) komplektā ar 2 atslēgām</t>
  </si>
  <si>
    <t>Polipropilēna PPR, Pn20 caurules, Dn50, montāža, stiprināšana pie sienas</t>
  </si>
  <si>
    <t>Polipropilēna PPR, Pn20 caurules, Dn40, montāža, stiprināšana pie sienas</t>
  </si>
  <si>
    <t>Polipropilēna PPR, Pn20 caurules, Dn32, montāža, stiprināšana pie sienas</t>
  </si>
  <si>
    <t>Polipropilēna PPR, Pn20 caurules, Dn25, montāža, stiprināšana pie sienas</t>
  </si>
  <si>
    <t>Polipropilēna PPR, Pn20 caurules, Dn20, montāža, stiprināšana pie sienas</t>
  </si>
  <si>
    <t>Polipropilēna PPR, Pn20 caurules, Dn15, montāža, stiprināšana pie sienas</t>
  </si>
  <si>
    <t>Polipropilēna PPR, Pn20 cauruļvadu diametru maiņa Dn50→Dn40, montāža</t>
  </si>
  <si>
    <t>Polipropilēna PPR, Pn20 cauruļvadu diametru maiņa Dn40→Dn32, montāža</t>
  </si>
  <si>
    <t>Polipropilēna PPR, Pn20 cauruļvadu diametru maiņa Dn40→Dn20, montāža</t>
  </si>
  <si>
    <t>Polipropilēna PPR, Pn20 cauruļvadu diametru maiņa Dn32→Dn25, montāža</t>
  </si>
  <si>
    <t>Polipropilēna PPR, Pn20 cauruļvadu diametru maiņa Dn25→Dn20, montāža</t>
  </si>
  <si>
    <t>Polipropilēna PPR, Pn20 cauruļvadu diametru maiņa Dn20→Dn15 montāža</t>
  </si>
  <si>
    <t>Polipropilēna PPR, Pn20 cauruļvadu trejgabali Dn50, montāža</t>
  </si>
  <si>
    <t>Polipropilēna PPR, Pn20 cauruļvadu trejgabali Dn40, montāža</t>
  </si>
  <si>
    <t>Polipropilēna PPR, Pn20 cauruļvadu trejgabali Dn25, montāža</t>
  </si>
  <si>
    <t>Polipropilēna PPR, Pn20 cauruļvadu trejgabali Dn20, montāža</t>
  </si>
  <si>
    <t>Polipropilēna PPR, Pn20 cauruļvadu X veida savienojums  Dn40, montāža</t>
  </si>
  <si>
    <t>Polipropilēna PPR, Pn20 cauruļvadu X veida savienojums  Dn32, montāža</t>
  </si>
  <si>
    <t>Polipropilēna PPR, Pn20 cauruļvadu X veida savienojums  Dn25, montāža</t>
  </si>
  <si>
    <t>Polipropilēna PPR, Pn20 cauruļvadu X veida savienojums  Dn15, montāža</t>
  </si>
  <si>
    <t>Polipropilēna PPR, Pn20 cauruļvadu Dn50 pagrieziens 90°, montāža</t>
  </si>
  <si>
    <t>Polipropilēna PPR, Pn20 cauruļvadu Dn40 pagrieziens 90°, montāža</t>
  </si>
  <si>
    <t>Polipropilēna PPR, Pn20 cauruļvadu Dn15 pagrieziens 90°, montāža</t>
  </si>
  <si>
    <t>Polipropilēna PPR, Pn20 metinātās caurules, Dn65, montāža, stiprināšana pie sienas</t>
  </si>
  <si>
    <t>Polipropilēna PPR, Pn20 metinātās caurules, Dn50, montāža, stiprināšana pie sienas</t>
  </si>
  <si>
    <t>Polipropilēna PPR, Pn20 metinātās caurules, Dn40, montāža, stiprināšana pie sienas</t>
  </si>
  <si>
    <t>Polipropilēna PPR, Pn20 metinātās caurules, Dn32, montāža, stiprināšana pie sienas</t>
  </si>
  <si>
    <t>Polipropilēna PPR, Pn20 metinātās caurules, Dn25, montāža, stiprināšana pie sienas</t>
  </si>
  <si>
    <t>Polipropilēna PPR, Pn20 metinātās caurules, Dn20, montāža, stiprināšana pie sienas</t>
  </si>
  <si>
    <t>Polipropilēna PPR, Pn20 metinātās caurules, Dn15, montāža, stiprināšana pie sienas</t>
  </si>
  <si>
    <t>Polipropilēna PPR, Pn20 cauruļvadu diametru maiņa Dn65→Dn50, montāža</t>
  </si>
  <si>
    <t>Polipropilēna PPR, Pn20 cauruļvadu diametru maiņa Dn65→Dn40, montāža</t>
  </si>
  <si>
    <t>Polipropilēna PPR, Pn20 cauruļvadu trejgabali Dn65, montāža</t>
  </si>
  <si>
    <t>Polipropilēna PPR, Pn20 cauruļvadu Dn65 pagrieziens 90°, montāža</t>
  </si>
  <si>
    <t>Sildķermeņa pievienojuma krāns firmas Danfoss, RLV-S vai ekvivalents komplektā ar tukšošanas krānu  t=110°C; P=8 bar; Dn15</t>
  </si>
  <si>
    <t>Vara caurule apkure, d15x0,7mm, montāža, stiprināšana pie sienas</t>
  </si>
  <si>
    <t>Polipropilēna PPR, Pn20 caurule, Dn15, montāža, stiprināšana pie sienas vai grīdlīstē</t>
  </si>
  <si>
    <t>Polipropilēna PPR, Pn20 caurules, pagrieziens 90°, Dn15, montāža</t>
  </si>
  <si>
    <t>Ø110, S20</t>
  </si>
  <si>
    <t>Ø75, S20</t>
  </si>
  <si>
    <t xml:space="preserve">Pretkondensāta izolācija ar pašlīmējošu maliņu  beniņstāvā - "K-Flex" ST kaučuka izolācija vai ekvivalents </t>
  </si>
  <si>
    <t>Ø20×1,9mm</t>
  </si>
  <si>
    <t>Pretkondensāta izolācijas čaula - ekvivalents "K-Flex" ST kaučuka izolācijas čaulām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</si>
</sst>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"/>
    <numFmt numFmtId="166" formatCode="_(* #,##0.00_);_(* \(#,##0.00\);_(* &quot;-&quot;??_);_(@_)"/>
    <numFmt numFmtId="167" formatCode="0.000"/>
    <numFmt numFmtId="168" formatCode="_-* #,##0.00_-;\-* #,##0.00_-;_-* \-??_-;_-@_-"/>
    <numFmt numFmtId="169" formatCode="_(* #,##0.00_);_(* \(#,##0.00\);_(* \-??_);_(@_)"/>
    <numFmt numFmtId="170" formatCode="\ #,##0.00\ ;\-#,##0.00\ ;&quot; -&quot;#\ ;@\ 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0"/>
      <name val="Helv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186"/>
    </font>
    <font>
      <i/>
      <sz val="8"/>
      <name val="Arial"/>
      <family val="2"/>
      <charset val="204"/>
    </font>
    <font>
      <sz val="8"/>
      <name val="Arial"/>
      <family val="2"/>
      <charset val="186"/>
    </font>
    <font>
      <b/>
      <sz val="8"/>
      <name val="Arial"/>
      <family val="2"/>
    </font>
    <font>
      <sz val="8"/>
      <name val="Helv"/>
    </font>
    <font>
      <sz val="10"/>
      <name val="Arial"/>
      <family val="2"/>
      <charset val="204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i/>
      <sz val="8"/>
      <name val="Arial"/>
      <family val="2"/>
      <charset val="204"/>
    </font>
    <font>
      <sz val="8"/>
      <name val="Calibri"/>
      <family val="2"/>
      <charset val="186"/>
    </font>
    <font>
      <u/>
      <sz val="8"/>
      <name val="Arial"/>
      <family val="2"/>
      <charset val="204"/>
    </font>
    <font>
      <b/>
      <i/>
      <sz val="8"/>
      <name val="Arial"/>
      <family val="2"/>
      <charset val="186"/>
    </font>
    <font>
      <b/>
      <i/>
      <u/>
      <sz val="8"/>
      <name val="Arial"/>
      <family val="2"/>
      <charset val="186"/>
    </font>
    <font>
      <u/>
      <sz val="8"/>
      <name val="Arial"/>
      <family val="2"/>
      <charset val="186"/>
    </font>
    <font>
      <sz val="11"/>
      <color indexed="8"/>
      <name val="Calibri"/>
      <family val="2"/>
      <charset val="204"/>
    </font>
    <font>
      <sz val="8"/>
      <name val="Arial"/>
      <family val="2"/>
    </font>
    <font>
      <i/>
      <sz val="8"/>
      <name val="Arial"/>
      <family val="2"/>
    </font>
    <font>
      <sz val="6"/>
      <name val="Arial"/>
      <family val="2"/>
      <charset val="186"/>
    </font>
    <font>
      <sz val="11"/>
      <name val="Calibri"/>
      <family val="2"/>
      <charset val="186"/>
    </font>
    <font>
      <sz val="11"/>
      <name val="Arial"/>
      <family val="2"/>
      <charset val="204"/>
    </font>
    <font>
      <u/>
      <sz val="8"/>
      <name val="Arial"/>
      <family val="2"/>
    </font>
    <font>
      <sz val="10"/>
      <name val="Arial"/>
      <family val="2"/>
      <charset val="1"/>
    </font>
    <font>
      <sz val="8"/>
      <name val="Symbol"/>
      <family val="1"/>
      <charset val="2"/>
    </font>
    <font>
      <vertAlign val="superscript"/>
      <sz val="8"/>
      <name val="Arial"/>
      <family val="2"/>
      <charset val="204"/>
    </font>
    <font>
      <sz val="11"/>
      <color indexed="17"/>
      <name val="Calibri"/>
      <family val="2"/>
      <charset val="186"/>
    </font>
    <font>
      <sz val="6"/>
      <name val="Arial"/>
      <family val="2"/>
    </font>
    <font>
      <sz val="9"/>
      <name val="Arial"/>
      <family val="2"/>
      <charset val="186"/>
    </font>
    <font>
      <sz val="8"/>
      <name val="Helv"/>
      <charset val="186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4"/>
      <name val="Arial"/>
      <family val="2"/>
      <charset val="186"/>
    </font>
    <font>
      <sz val="11"/>
      <name val="Calibri"/>
      <family val="2"/>
      <scheme val="minor"/>
    </font>
    <font>
      <sz val="8"/>
      <color rgb="FFFF0000"/>
      <name val="Arial"/>
      <family val="2"/>
      <charset val="204"/>
    </font>
    <font>
      <sz val="8"/>
      <color rgb="FFFF0000"/>
      <name val="Arial"/>
      <family val="2"/>
      <charset val="186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41414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8">
    <xf numFmtId="0" fontId="0" fillId="0" borderId="0"/>
    <xf numFmtId="164" fontId="3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9" fillId="2" borderId="0" applyNumberFormat="0" applyBorder="0" applyAlignment="0" applyProtection="0"/>
    <xf numFmtId="0" fontId="1" fillId="0" borderId="0"/>
    <xf numFmtId="0" fontId="11" fillId="0" borderId="0">
      <alignment textRotation="90"/>
    </xf>
    <xf numFmtId="0" fontId="11" fillId="0" borderId="0"/>
    <xf numFmtId="0" fontId="1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9" fontId="33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1" fillId="0" borderId="0"/>
  </cellStyleXfs>
  <cellXfs count="889">
    <xf numFmtId="0" fontId="0" fillId="0" borderId="0" xfId="0"/>
    <xf numFmtId="1" fontId="5" fillId="0" borderId="1" xfId="22" applyNumberFormat="1" applyFont="1" applyFill="1" applyBorder="1" applyAlignment="1">
      <alignment horizontal="center" vertical="center"/>
    </xf>
    <xf numFmtId="0" fontId="5" fillId="0" borderId="0" xfId="22" applyFont="1" applyFill="1" applyAlignment="1">
      <alignment vertical="center"/>
    </xf>
    <xf numFmtId="0" fontId="7" fillId="0" borderId="0" xfId="22" applyFont="1" applyFill="1" applyAlignment="1">
      <alignment vertical="center"/>
    </xf>
    <xf numFmtId="0" fontId="4" fillId="0" borderId="0" xfId="17" applyFont="1" applyFill="1" applyAlignment="1">
      <alignment vertical="center"/>
    </xf>
    <xf numFmtId="0" fontId="7" fillId="0" borderId="0" xfId="17" applyFont="1" applyFill="1" applyAlignment="1">
      <alignment vertical="center" wrapText="1"/>
    </xf>
    <xf numFmtId="2" fontId="5" fillId="0" borderId="1" xfId="22" applyNumberFormat="1" applyFont="1" applyFill="1" applyBorder="1" applyAlignment="1">
      <alignment horizontal="center" vertical="center"/>
    </xf>
    <xf numFmtId="0" fontId="7" fillId="0" borderId="0" xfId="22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7" fillId="0" borderId="2" xfId="22" applyNumberFormat="1" applyFont="1" applyFill="1" applyBorder="1" applyAlignment="1" applyProtection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2" xfId="24" applyNumberFormat="1" applyFont="1" applyFill="1" applyBorder="1" applyAlignment="1">
      <alignment horizontal="center" vertical="center" wrapText="1"/>
    </xf>
    <xf numFmtId="2" fontId="7" fillId="0" borderId="2" xfId="22" applyNumberFormat="1" applyFont="1" applyFill="1" applyBorder="1" applyAlignment="1" applyProtection="1">
      <alignment horizontal="center" vertical="center" wrapText="1"/>
    </xf>
    <xf numFmtId="49" fontId="4" fillId="0" borderId="2" xfId="2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2" fontId="4" fillId="0" borderId="2" xfId="22" applyNumberFormat="1" applyFont="1" applyFill="1" applyBorder="1" applyAlignment="1" applyProtection="1">
      <alignment horizontal="center" vertical="center" wrapText="1"/>
    </xf>
    <xf numFmtId="0" fontId="4" fillId="0" borderId="2" xfId="22" applyFont="1" applyFill="1" applyBorder="1" applyAlignment="1">
      <alignment vertical="center" wrapText="1"/>
    </xf>
    <xf numFmtId="0" fontId="7" fillId="0" borderId="0" xfId="22" applyFont="1" applyFill="1" applyBorder="1" applyAlignment="1">
      <alignment horizontal="center" vertical="center" wrapText="1"/>
    </xf>
    <xf numFmtId="2" fontId="7" fillId="0" borderId="0" xfId="2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24" applyNumberFormat="1" applyFont="1" applyFill="1" applyBorder="1" applyAlignment="1">
      <alignment horizontal="center" vertical="center" wrapText="1"/>
    </xf>
    <xf numFmtId="0" fontId="7" fillId="0" borderId="0" xfId="14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14" applyFont="1" applyFill="1" applyBorder="1" applyAlignment="1">
      <alignment horizontal="center" vertical="center" wrapText="1"/>
    </xf>
    <xf numFmtId="0" fontId="7" fillId="0" borderId="0" xfId="9" applyFont="1" applyFill="1" applyAlignment="1">
      <alignment vertical="center"/>
    </xf>
    <xf numFmtId="1" fontId="3" fillId="0" borderId="1" xfId="22" applyNumberFormat="1" applyFont="1" applyFill="1" applyBorder="1" applyAlignment="1">
      <alignment horizontal="center" vertical="center"/>
    </xf>
    <xf numFmtId="0" fontId="3" fillId="0" borderId="0" xfId="22" applyFont="1" applyFill="1" applyAlignment="1">
      <alignment vertical="center"/>
    </xf>
    <xf numFmtId="0" fontId="4" fillId="0" borderId="0" xfId="22" applyFont="1" applyFill="1" applyAlignment="1">
      <alignment vertical="center"/>
    </xf>
    <xf numFmtId="0" fontId="4" fillId="0" borderId="0" xfId="17" applyFont="1" applyFill="1" applyAlignment="1">
      <alignment vertical="center" wrapText="1"/>
    </xf>
    <xf numFmtId="2" fontId="3" fillId="0" borderId="1" xfId="22" applyNumberFormat="1" applyFont="1" applyFill="1" applyBorder="1" applyAlignment="1">
      <alignment horizontal="center" vertical="center"/>
    </xf>
    <xf numFmtId="0" fontId="3" fillId="0" borderId="0" xfId="22" applyFont="1" applyFill="1" applyBorder="1" applyAlignment="1">
      <alignment vertical="center"/>
    </xf>
    <xf numFmtId="0" fontId="4" fillId="0" borderId="0" xfId="22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2" xfId="22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24" applyNumberFormat="1" applyFont="1" applyFill="1" applyBorder="1" applyAlignment="1">
      <alignment horizontal="center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4" fillId="0" borderId="0" xfId="2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22" applyFont="1" applyFill="1" applyBorder="1" applyAlignment="1">
      <alignment horizontal="center" vertical="center"/>
    </xf>
    <xf numFmtId="0" fontId="3" fillId="0" borderId="0" xfId="17" applyFont="1" applyFill="1" applyBorder="1" applyAlignment="1">
      <alignment vertical="center"/>
    </xf>
    <xf numFmtId="0" fontId="4" fillId="0" borderId="0" xfId="17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17" applyFont="1" applyFill="1" applyBorder="1" applyAlignment="1">
      <alignment vertical="center"/>
    </xf>
    <xf numFmtId="165" fontId="4" fillId="0" borderId="0" xfId="17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22" applyFont="1" applyFill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22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4" fillId="0" borderId="2" xfId="22" applyNumberFormat="1" applyFont="1" applyFill="1" applyBorder="1" applyAlignment="1">
      <alignment horizontal="center" vertical="center" wrapText="1"/>
    </xf>
    <xf numFmtId="2" fontId="4" fillId="0" borderId="2" xfId="22" applyNumberFormat="1" applyFont="1" applyFill="1" applyBorder="1" applyAlignment="1">
      <alignment horizontal="center" vertical="center"/>
    </xf>
    <xf numFmtId="0" fontId="3" fillId="0" borderId="0" xfId="17" applyFont="1" applyFill="1" applyAlignment="1">
      <alignment vertical="center"/>
    </xf>
    <xf numFmtId="0" fontId="5" fillId="0" borderId="0" xfId="22" applyFont="1" applyFill="1" applyAlignment="1">
      <alignment horizontal="left" vertical="center"/>
    </xf>
    <xf numFmtId="2" fontId="5" fillId="0" borderId="0" xfId="22" applyNumberFormat="1" applyFont="1" applyFill="1" applyAlignment="1">
      <alignment vertical="center"/>
    </xf>
    <xf numFmtId="164" fontId="7" fillId="0" borderId="2" xfId="11" applyNumberFormat="1" applyFont="1" applyFill="1" applyBorder="1" applyAlignment="1" applyProtection="1">
      <alignment horizontal="right" vertical="center"/>
    </xf>
    <xf numFmtId="2" fontId="7" fillId="0" borderId="2" xfId="22" applyNumberFormat="1" applyFont="1" applyFill="1" applyBorder="1" applyAlignment="1">
      <alignment vertical="center"/>
    </xf>
    <xf numFmtId="2" fontId="7" fillId="0" borderId="0" xfId="22" applyNumberFormat="1" applyFont="1" applyFill="1" applyAlignment="1">
      <alignment vertical="center"/>
    </xf>
    <xf numFmtId="1" fontId="7" fillId="0" borderId="0" xfId="0" applyNumberFormat="1" applyFont="1" applyFill="1" applyAlignment="1">
      <alignment horizontal="left" vertical="center"/>
    </xf>
    <xf numFmtId="2" fontId="7" fillId="0" borderId="0" xfId="22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left" vertical="center" wrapText="1"/>
    </xf>
    <xf numFmtId="2" fontId="7" fillId="0" borderId="0" xfId="22" applyNumberFormat="1" applyFont="1" applyFill="1" applyAlignment="1">
      <alignment vertical="center" wrapText="1"/>
    </xf>
    <xf numFmtId="2" fontId="7" fillId="0" borderId="0" xfId="22" applyNumberFormat="1" applyFont="1" applyFill="1" applyBorder="1" applyAlignment="1">
      <alignment vertical="center" wrapText="1"/>
    </xf>
    <xf numFmtId="2" fontId="7" fillId="0" borderId="0" xfId="22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2" fontId="7" fillId="0" borderId="0" xfId="22" applyNumberFormat="1" applyFont="1" applyFill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 wrapText="1"/>
    </xf>
    <xf numFmtId="2" fontId="7" fillId="0" borderId="0" xfId="22" applyNumberFormat="1" applyFont="1" applyFill="1" applyBorder="1" applyAlignment="1" applyProtection="1">
      <alignment vertical="center"/>
    </xf>
    <xf numFmtId="2" fontId="7" fillId="0" borderId="0" xfId="22" applyNumberFormat="1" applyFont="1" applyFill="1" applyBorder="1" applyAlignment="1" applyProtection="1">
      <alignment vertical="center" wrapText="1"/>
    </xf>
    <xf numFmtId="2" fontId="7" fillId="0" borderId="0" xfId="22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22" applyNumberFormat="1" applyFont="1" applyFill="1" applyBorder="1" applyAlignment="1" applyProtection="1">
      <alignment horizontal="center" vertical="center" wrapText="1"/>
    </xf>
    <xf numFmtId="0" fontId="7" fillId="0" borderId="0" xfId="17" applyFont="1" applyFill="1" applyAlignment="1">
      <alignment vertical="center"/>
    </xf>
    <xf numFmtId="2" fontId="4" fillId="0" borderId="3" xfId="22" applyNumberFormat="1" applyFont="1" applyFill="1" applyBorder="1" applyAlignment="1">
      <alignment horizontal="center" vertical="center" wrapText="1"/>
    </xf>
    <xf numFmtId="2" fontId="4" fillId="0" borderId="4" xfId="22" applyNumberFormat="1" applyFont="1" applyFill="1" applyBorder="1" applyAlignment="1">
      <alignment horizontal="center" vertical="center" wrapText="1"/>
    </xf>
    <xf numFmtId="2" fontId="4" fillId="0" borderId="5" xfId="22" applyNumberFormat="1" applyFont="1" applyFill="1" applyBorder="1" applyAlignment="1">
      <alignment horizontal="center" vertical="center" wrapText="1"/>
    </xf>
    <xf numFmtId="0" fontId="3" fillId="0" borderId="0" xfId="22" applyFont="1" applyFill="1" applyBorder="1" applyAlignment="1">
      <alignment horizontal="center" vertical="center"/>
    </xf>
    <xf numFmtId="0" fontId="7" fillId="0" borderId="0" xfId="22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22" applyFont="1" applyFill="1" applyAlignment="1">
      <alignment vertical="center" wrapText="1"/>
    </xf>
    <xf numFmtId="1" fontId="7" fillId="0" borderId="2" xfId="22" applyNumberFormat="1" applyFont="1" applyFill="1" applyBorder="1" applyAlignment="1">
      <alignment vertical="center"/>
    </xf>
    <xf numFmtId="2" fontId="4" fillId="0" borderId="2" xfId="11" applyNumberFormat="1" applyFont="1" applyFill="1" applyBorder="1" applyAlignment="1">
      <alignment vertical="center"/>
    </xf>
    <xf numFmtId="0" fontId="4" fillId="0" borderId="2" xfId="22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2" xfId="14" applyNumberFormat="1" applyFont="1" applyFill="1" applyBorder="1" applyAlignment="1">
      <alignment horizontal="center" vertical="center"/>
    </xf>
    <xf numFmtId="49" fontId="7" fillId="0" borderId="2" xfId="14" applyNumberFormat="1" applyFont="1" applyFill="1" applyBorder="1" applyAlignment="1">
      <alignment horizontal="center" vertical="center"/>
    </xf>
    <xf numFmtId="0" fontId="7" fillId="0" borderId="2" xfId="14" applyFont="1" applyFill="1" applyBorder="1" applyAlignment="1">
      <alignment horizontal="center" vertical="center" wrapText="1"/>
    </xf>
    <xf numFmtId="164" fontId="7" fillId="0" borderId="2" xfId="17" applyNumberFormat="1" applyFont="1" applyFill="1" applyBorder="1" applyAlignment="1">
      <alignment horizontal="center" vertical="center"/>
    </xf>
    <xf numFmtId="164" fontId="7" fillId="0" borderId="2" xfId="17" applyNumberFormat="1" applyFont="1" applyFill="1" applyBorder="1" applyAlignment="1">
      <alignment vertical="center"/>
    </xf>
    <xf numFmtId="0" fontId="7" fillId="0" borderId="2" xfId="17" applyFont="1" applyFill="1" applyBorder="1" applyAlignment="1">
      <alignment vertical="center"/>
    </xf>
    <xf numFmtId="0" fontId="7" fillId="0" borderId="2" xfId="14" applyFont="1" applyFill="1" applyBorder="1" applyAlignment="1">
      <alignment horizontal="left" vertical="center" wrapText="1"/>
    </xf>
    <xf numFmtId="0" fontId="7" fillId="0" borderId="2" xfId="14" applyFont="1" applyFill="1" applyBorder="1" applyAlignment="1">
      <alignment horizontal="center" vertical="center"/>
    </xf>
    <xf numFmtId="0" fontId="7" fillId="0" borderId="0" xfId="14" applyFont="1" applyFill="1" applyAlignment="1">
      <alignment vertical="center"/>
    </xf>
    <xf numFmtId="0" fontId="5" fillId="0" borderId="2" xfId="17" applyFont="1" applyFill="1" applyBorder="1" applyAlignment="1">
      <alignment vertical="center"/>
    </xf>
    <xf numFmtId="164" fontId="7" fillId="0" borderId="2" xfId="11" applyNumberFormat="1" applyFont="1" applyFill="1" applyBorder="1" applyAlignment="1" applyProtection="1">
      <alignment horizontal="center" vertical="center"/>
    </xf>
    <xf numFmtId="0" fontId="7" fillId="0" borderId="2" xfId="11" applyNumberFormat="1" applyFont="1" applyFill="1" applyBorder="1" applyAlignment="1" applyProtection="1">
      <alignment horizontal="left" vertical="center" wrapText="1"/>
    </xf>
    <xf numFmtId="0" fontId="7" fillId="0" borderId="0" xfId="17" applyFont="1" applyFill="1" applyBorder="1" applyAlignment="1">
      <alignment horizontal="center" vertical="center"/>
    </xf>
    <xf numFmtId="0" fontId="7" fillId="0" borderId="0" xfId="17" applyFont="1" applyFill="1" applyBorder="1" applyAlignment="1">
      <alignment vertical="center"/>
    </xf>
    <xf numFmtId="2" fontId="7" fillId="0" borderId="0" xfId="17" applyNumberFormat="1" applyFont="1" applyFill="1" applyBorder="1" applyAlignment="1">
      <alignment horizontal="center" vertical="center"/>
    </xf>
    <xf numFmtId="49" fontId="7" fillId="0" borderId="0" xfId="14" applyNumberFormat="1" applyFont="1" applyFill="1" applyBorder="1" applyAlignment="1">
      <alignment vertical="center"/>
    </xf>
    <xf numFmtId="164" fontId="7" fillId="0" borderId="0" xfId="17" applyNumberFormat="1" applyFont="1" applyFill="1" applyBorder="1" applyAlignment="1">
      <alignment horizontal="center" vertical="center" wrapText="1"/>
    </xf>
    <xf numFmtId="164" fontId="7" fillId="0" borderId="0" xfId="17" applyNumberFormat="1" applyFont="1" applyFill="1" applyBorder="1" applyAlignment="1">
      <alignment horizontal="center" vertical="center"/>
    </xf>
    <xf numFmtId="164" fontId="7" fillId="0" borderId="0" xfId="14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17" applyNumberFormat="1" applyFont="1" applyFill="1" applyBorder="1" applyAlignment="1">
      <alignment horizontal="center" vertical="center" wrapText="1"/>
    </xf>
    <xf numFmtId="2" fontId="16" fillId="0" borderId="2" xfId="17" applyNumberFormat="1" applyFont="1" applyFill="1" applyBorder="1" applyAlignment="1">
      <alignment horizontal="center" vertical="center" wrapText="1"/>
    </xf>
    <xf numFmtId="2" fontId="16" fillId="0" borderId="2" xfId="22" applyNumberFormat="1" applyFont="1" applyFill="1" applyBorder="1" applyAlignment="1">
      <alignment horizontal="center" vertical="center"/>
    </xf>
    <xf numFmtId="2" fontId="4" fillId="0" borderId="2" xfId="1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 wrapText="1"/>
    </xf>
    <xf numFmtId="0" fontId="3" fillId="0" borderId="0" xfId="22" applyFont="1" applyFill="1" applyAlignment="1">
      <alignment horizontal="center" vertical="center"/>
    </xf>
    <xf numFmtId="0" fontId="4" fillId="0" borderId="2" xfId="22" applyFont="1" applyFill="1" applyBorder="1" applyAlignment="1">
      <alignment horizontal="center" vertical="center" wrapText="1"/>
    </xf>
    <xf numFmtId="2" fontId="7" fillId="0" borderId="2" xfId="22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Border="1" applyAlignment="1" applyProtection="1">
      <alignment vertical="center"/>
    </xf>
    <xf numFmtId="0" fontId="7" fillId="0" borderId="0" xfId="1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16" applyNumberFormat="1" applyFont="1" applyFill="1" applyBorder="1" applyAlignment="1" applyProtection="1">
      <alignment horizontal="left" vertical="center"/>
    </xf>
    <xf numFmtId="0" fontId="7" fillId="0" borderId="0" xfId="1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2" fontId="4" fillId="0" borderId="2" xfId="22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7" fillId="0" borderId="0" xfId="22" applyNumberFormat="1" applyFont="1" applyFill="1" applyBorder="1" applyAlignment="1">
      <alignment horizontal="left" vertical="center"/>
    </xf>
    <xf numFmtId="0" fontId="7" fillId="0" borderId="0" xfId="22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0" xfId="17" applyFont="1" applyFill="1" applyAlignment="1">
      <alignment horizontal="center" vertical="center"/>
    </xf>
    <xf numFmtId="0" fontId="4" fillId="0" borderId="0" xfId="17" applyFont="1" applyFill="1" applyAlignment="1">
      <alignment horizontal="left" vertical="center"/>
    </xf>
    <xf numFmtId="0" fontId="7" fillId="0" borderId="0" xfId="22" applyFont="1" applyFill="1" applyBorder="1" applyAlignment="1">
      <alignment horizontal="left" vertical="center" wrapText="1"/>
    </xf>
    <xf numFmtId="0" fontId="4" fillId="0" borderId="2" xfId="11" applyNumberFormat="1" applyFont="1" applyFill="1" applyBorder="1" applyAlignment="1" applyProtection="1">
      <alignment horizontal="left" vertical="center" wrapText="1"/>
    </xf>
    <xf numFmtId="0" fontId="7" fillId="0" borderId="0" xfId="11" applyNumberFormat="1" applyFont="1" applyFill="1" applyBorder="1" applyAlignment="1" applyProtection="1">
      <alignment vertical="center"/>
    </xf>
    <xf numFmtId="0" fontId="7" fillId="0" borderId="0" xfId="11" applyFont="1" applyFill="1" applyAlignment="1">
      <alignment horizontal="center" vertical="center"/>
    </xf>
    <xf numFmtId="0" fontId="7" fillId="0" borderId="0" xfId="22" applyFont="1" applyFill="1" applyAlignment="1">
      <alignment horizontal="center" vertical="center"/>
    </xf>
    <xf numFmtId="0" fontId="7" fillId="0" borderId="0" xfId="22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0" xfId="11" applyFont="1" applyFill="1" applyAlignment="1">
      <alignment horizontal="left" vertical="center"/>
    </xf>
    <xf numFmtId="0" fontId="7" fillId="0" borderId="0" xfId="17" applyFont="1" applyFill="1" applyAlignment="1">
      <alignment horizontal="center" vertical="center"/>
    </xf>
    <xf numFmtId="0" fontId="7" fillId="0" borderId="0" xfId="17" applyFont="1" applyFill="1" applyAlignment="1">
      <alignment horizontal="left" vertical="center"/>
    </xf>
    <xf numFmtId="0" fontId="7" fillId="0" borderId="0" xfId="17" applyFont="1" applyFill="1" applyAlignment="1">
      <alignment horizontal="center" vertical="center" wrapText="1"/>
    </xf>
    <xf numFmtId="0" fontId="7" fillId="0" borderId="0" xfId="17" applyFont="1" applyFill="1" applyAlignment="1">
      <alignment horizontal="left" vertical="center" wrapText="1"/>
    </xf>
    <xf numFmtId="0" fontId="5" fillId="0" borderId="0" xfId="22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left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0" xfId="11" applyNumberFormat="1" applyFont="1" applyFill="1" applyBorder="1" applyAlignment="1" applyProtection="1">
      <alignment horizontal="center" vertical="center"/>
    </xf>
    <xf numFmtId="0" fontId="5" fillId="0" borderId="0" xfId="11" applyFont="1" applyFill="1" applyAlignment="1">
      <alignment horizontal="right" vertical="center"/>
    </xf>
    <xf numFmtId="2" fontId="5" fillId="0" borderId="0" xfId="11" applyNumberFormat="1" applyFont="1" applyFill="1" applyAlignment="1">
      <alignment horizontal="right" vertical="center"/>
    </xf>
    <xf numFmtId="2" fontId="5" fillId="0" borderId="0" xfId="11" applyNumberFormat="1" applyFont="1" applyFill="1" applyBorder="1" applyAlignment="1" applyProtection="1">
      <alignment horizontal="right" vertical="center"/>
    </xf>
    <xf numFmtId="0" fontId="5" fillId="0" borderId="0" xfId="11" applyFont="1" applyFill="1" applyAlignment="1">
      <alignment horizontal="right" vertical="center" wrapText="1"/>
    </xf>
    <xf numFmtId="9" fontId="5" fillId="0" borderId="0" xfId="21" applyFont="1" applyFill="1" applyAlignment="1">
      <alignment horizontal="right" vertical="center"/>
    </xf>
    <xf numFmtId="0" fontId="7" fillId="0" borderId="0" xfId="11" applyFont="1" applyFill="1" applyAlignment="1">
      <alignment horizontal="left" vertical="center" wrapText="1"/>
    </xf>
    <xf numFmtId="0" fontId="7" fillId="0" borderId="0" xfId="22" applyFont="1" applyFill="1" applyBorder="1" applyAlignment="1">
      <alignment horizontal="left" vertical="center"/>
    </xf>
    <xf numFmtId="1" fontId="3" fillId="0" borderId="0" xfId="22" applyNumberFormat="1" applyFont="1" applyFill="1" applyBorder="1" applyAlignment="1">
      <alignment horizontal="center" vertical="center"/>
    </xf>
    <xf numFmtId="1" fontId="5" fillId="0" borderId="0" xfId="22" applyNumberFormat="1" applyFont="1" applyFill="1" applyBorder="1" applyAlignment="1">
      <alignment horizontal="center" vertical="center"/>
    </xf>
    <xf numFmtId="2" fontId="7" fillId="0" borderId="2" xfId="11" applyNumberFormat="1" applyFont="1" applyFill="1" applyBorder="1" applyAlignment="1" applyProtection="1">
      <alignment horizontal="right" vertical="center"/>
    </xf>
    <xf numFmtId="0" fontId="7" fillId="0" borderId="0" xfId="5" applyFont="1" applyFill="1" applyAlignment="1" applyProtection="1">
      <alignment horizontal="right" vertical="center" wrapText="1"/>
      <protection locked="0"/>
    </xf>
    <xf numFmtId="0" fontId="7" fillId="0" borderId="0" xfId="22" applyFont="1" applyFill="1" applyBorder="1" applyAlignment="1">
      <alignment horizontal="center" vertical="center"/>
    </xf>
    <xf numFmtId="0" fontId="7" fillId="0" borderId="0" xfId="5" applyFont="1" applyFill="1" applyAlignment="1" applyProtection="1">
      <alignment vertical="center"/>
      <protection locked="0"/>
    </xf>
    <xf numFmtId="0" fontId="7" fillId="0" borderId="0" xfId="5" applyFont="1" applyFill="1" applyAlignment="1" applyProtection="1">
      <alignment horizontal="right" vertical="center"/>
      <protection locked="0"/>
    </xf>
    <xf numFmtId="0" fontId="7" fillId="0" borderId="0" xfId="22" applyFont="1" applyFill="1" applyAlignment="1">
      <alignment horizontal="left" vertical="center"/>
    </xf>
    <xf numFmtId="0" fontId="3" fillId="0" borderId="0" xfId="17" applyFont="1" applyFill="1" applyAlignment="1">
      <alignment horizontal="right" vertical="center"/>
    </xf>
    <xf numFmtId="0" fontId="3" fillId="0" borderId="1" xfId="17" applyFont="1" applyFill="1" applyBorder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2" fontId="3" fillId="0" borderId="1" xfId="11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vertical="center"/>
    </xf>
    <xf numFmtId="2" fontId="5" fillId="0" borderId="0" xfId="22" applyNumberFormat="1" applyFont="1" applyFill="1" applyBorder="1" applyAlignment="1">
      <alignment horizontal="right" vertical="center"/>
    </xf>
    <xf numFmtId="2" fontId="5" fillId="0" borderId="0" xfId="17" applyNumberFormat="1" applyFont="1" applyFill="1" applyAlignment="1">
      <alignment vertical="center"/>
    </xf>
    <xf numFmtId="2" fontId="5" fillId="0" borderId="0" xfId="17" applyNumberFormat="1" applyFont="1" applyFill="1" applyAlignment="1">
      <alignment vertical="center" wrapText="1"/>
    </xf>
    <xf numFmtId="2" fontId="5" fillId="0" borderId="0" xfId="17" applyNumberFormat="1" applyFont="1" applyFill="1" applyAlignment="1">
      <alignment horizontal="center" vertical="center"/>
    </xf>
    <xf numFmtId="2" fontId="5" fillId="0" borderId="0" xfId="17" applyNumberFormat="1" applyFont="1" applyFill="1" applyBorder="1" applyAlignment="1">
      <alignment vertical="center"/>
    </xf>
    <xf numFmtId="2" fontId="5" fillId="0" borderId="0" xfId="22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7" xfId="22" applyNumberFormat="1" applyFont="1" applyFill="1" applyBorder="1" applyAlignment="1" applyProtection="1">
      <alignment horizontal="center" vertical="center" wrapText="1"/>
    </xf>
    <xf numFmtId="49" fontId="7" fillId="0" borderId="4" xfId="22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4" xfId="22" applyFont="1" applyFill="1" applyBorder="1" applyAlignment="1">
      <alignment horizontal="center" vertical="center" wrapText="1"/>
    </xf>
    <xf numFmtId="2" fontId="7" fillId="0" borderId="4" xfId="22" applyNumberFormat="1" applyFont="1" applyFill="1" applyBorder="1" applyAlignment="1">
      <alignment horizontal="center" vertical="center" wrapText="1"/>
    </xf>
    <xf numFmtId="2" fontId="7" fillId="0" borderId="4" xfId="22" applyNumberFormat="1" applyFont="1" applyFill="1" applyBorder="1" applyAlignment="1" applyProtection="1">
      <alignment horizontal="center" vertical="center" wrapText="1"/>
    </xf>
    <xf numFmtId="49" fontId="7" fillId="0" borderId="0" xfId="22" applyNumberFormat="1" applyFont="1" applyFill="1" applyBorder="1" applyAlignment="1" applyProtection="1">
      <alignment horizontal="center" vertical="center" wrapText="1"/>
    </xf>
    <xf numFmtId="2" fontId="4" fillId="0" borderId="0" xfId="22" applyNumberFormat="1" applyFont="1" applyFill="1" applyBorder="1" applyAlignment="1" applyProtection="1">
      <alignment horizontal="center" vertical="center" wrapText="1"/>
    </xf>
    <xf numFmtId="164" fontId="4" fillId="0" borderId="0" xfId="22" applyNumberFormat="1" applyFont="1" applyFill="1" applyBorder="1" applyAlignment="1" applyProtection="1">
      <alignment horizontal="center" vertical="center" wrapText="1"/>
    </xf>
    <xf numFmtId="0" fontId="4" fillId="0" borderId="0" xfId="22" applyNumberFormat="1" applyFont="1" applyFill="1" applyBorder="1" applyAlignment="1" applyProtection="1">
      <alignment horizontal="center" vertical="center" wrapText="1"/>
    </xf>
    <xf numFmtId="0" fontId="7" fillId="0" borderId="0" xfId="14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17" applyFont="1" applyFill="1" applyAlignment="1">
      <alignment horizontal="center" vertical="center" wrapText="1"/>
    </xf>
    <xf numFmtId="0" fontId="7" fillId="0" borderId="0" xfId="5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textRotation="90" wrapText="1"/>
    </xf>
    <xf numFmtId="49" fontId="4" fillId="0" borderId="0" xfId="2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22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2" xfId="13" applyNumberFormat="1" applyFont="1" applyFill="1" applyBorder="1" applyAlignment="1">
      <alignment horizontal="center" vertical="center" wrapText="1"/>
    </xf>
    <xf numFmtId="0" fontId="4" fillId="0" borderId="2" xfId="22" applyNumberFormat="1" applyFont="1" applyFill="1" applyBorder="1" applyAlignment="1" applyProtection="1">
      <alignment vertical="center" wrapText="1"/>
    </xf>
    <xf numFmtId="0" fontId="16" fillId="0" borderId="2" xfId="17" applyFont="1" applyFill="1" applyBorder="1" applyAlignment="1">
      <alignment horizontal="center" vertical="center"/>
    </xf>
    <xf numFmtId="0" fontId="16" fillId="0" borderId="2" xfId="17" applyFont="1" applyFill="1" applyBorder="1" applyAlignment="1">
      <alignment horizontal="center" vertical="center" wrapText="1"/>
    </xf>
    <xf numFmtId="1" fontId="7" fillId="0" borderId="2" xfId="22" applyNumberFormat="1" applyFont="1" applyFill="1" applyBorder="1" applyAlignment="1">
      <alignment horizontal="center" vertical="center"/>
    </xf>
    <xf numFmtId="1" fontId="7" fillId="0" borderId="2" xfId="22" applyNumberFormat="1" applyFont="1" applyFill="1" applyBorder="1" applyAlignment="1">
      <alignment horizontal="center" vertical="center" wrapText="1"/>
    </xf>
    <xf numFmtId="0" fontId="16" fillId="0" borderId="2" xfId="22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0" fontId="17" fillId="0" borderId="2" xfId="17" applyFont="1" applyFill="1" applyBorder="1" applyAlignment="1">
      <alignment horizontal="left" vertical="center"/>
    </xf>
    <xf numFmtId="0" fontId="5" fillId="0" borderId="2" xfId="17" applyFont="1" applyFill="1" applyBorder="1" applyAlignment="1">
      <alignment horizontal="center" vertical="center" wrapText="1"/>
    </xf>
    <xf numFmtId="164" fontId="5" fillId="0" borderId="2" xfId="17" applyNumberFormat="1" applyFont="1" applyFill="1" applyBorder="1" applyAlignment="1">
      <alignment vertical="center"/>
    </xf>
    <xf numFmtId="0" fontId="17" fillId="0" borderId="2" xfId="17" applyFont="1" applyFill="1" applyBorder="1" applyAlignment="1">
      <alignment horizontal="left" vertical="center" wrapText="1"/>
    </xf>
    <xf numFmtId="0" fontId="4" fillId="0" borderId="2" xfId="22" applyFont="1" applyFill="1" applyBorder="1" applyAlignment="1">
      <alignment horizontal="center" vertical="center"/>
    </xf>
    <xf numFmtId="1" fontId="4" fillId="0" borderId="2" xfId="22" applyNumberFormat="1" applyFont="1" applyFill="1" applyBorder="1" applyAlignment="1">
      <alignment horizontal="center" vertical="center"/>
    </xf>
    <xf numFmtId="0" fontId="20" fillId="0" borderId="0" xfId="22" applyFont="1" applyFill="1" applyAlignment="1">
      <alignment horizontal="center" vertical="center"/>
    </xf>
    <xf numFmtId="0" fontId="20" fillId="0" borderId="0" xfId="22" applyFont="1" applyFill="1" applyBorder="1" applyAlignment="1">
      <alignment vertical="center"/>
    </xf>
    <xf numFmtId="0" fontId="20" fillId="0" borderId="0" xfId="22" applyFont="1" applyFill="1" applyBorder="1" applyAlignment="1">
      <alignment horizontal="center" vertical="center"/>
    </xf>
    <xf numFmtId="0" fontId="20" fillId="0" borderId="0" xfId="22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8" fontId="5" fillId="0" borderId="0" xfId="4" applyNumberFormat="1" applyFont="1" applyFill="1" applyBorder="1" applyAlignment="1" applyProtection="1">
      <alignment horizontal="right" vertical="center" wrapText="1"/>
    </xf>
    <xf numFmtId="2" fontId="5" fillId="0" borderId="0" xfId="4" applyNumberFormat="1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horizontal="right" vertical="center"/>
    </xf>
    <xf numFmtId="9" fontId="7" fillId="0" borderId="0" xfId="4" applyNumberFormat="1" applyFont="1" applyFill="1" applyBorder="1" applyAlignment="1" applyProtection="1">
      <alignment horizontal="center" vertical="center"/>
    </xf>
    <xf numFmtId="2" fontId="7" fillId="0" borderId="0" xfId="4" applyNumberFormat="1" applyFont="1" applyFill="1" applyBorder="1" applyAlignment="1" applyProtection="1">
      <alignment horizontal="center" vertical="center"/>
    </xf>
    <xf numFmtId="0" fontId="12" fillId="0" borderId="0" xfId="4" applyFont="1" applyFill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horizontal="center" vertical="center"/>
    </xf>
    <xf numFmtId="2" fontId="5" fillId="0" borderId="0" xfId="4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vertical="center"/>
    </xf>
    <xf numFmtId="0" fontId="23" fillId="0" borderId="0" xfId="0" applyFont="1" applyFill="1" applyAlignment="1">
      <alignment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2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 wrapText="1"/>
    </xf>
    <xf numFmtId="0" fontId="12" fillId="0" borderId="0" xfId="4" applyFont="1" applyFill="1" applyAlignment="1">
      <alignment vertical="center"/>
    </xf>
    <xf numFmtId="0" fontId="3" fillId="0" borderId="0" xfId="22" applyFont="1" applyFill="1" applyAlignment="1">
      <alignment horizontal="left" vertical="center"/>
    </xf>
    <xf numFmtId="0" fontId="20" fillId="0" borderId="2" xfId="22" applyFont="1" applyFill="1" applyBorder="1" applyAlignment="1">
      <alignment horizontal="center" vertical="center" wrapText="1"/>
    </xf>
    <xf numFmtId="166" fontId="4" fillId="0" borderId="2" xfId="11" applyNumberFormat="1" applyFont="1" applyFill="1" applyBorder="1" applyAlignment="1">
      <alignment horizontal="center" vertical="center" wrapText="1"/>
    </xf>
    <xf numFmtId="2" fontId="4" fillId="0" borderId="2" xfId="4" applyNumberFormat="1" applyFont="1" applyFill="1" applyBorder="1" applyAlignment="1" applyProtection="1">
      <alignment horizontal="center" vertical="center" wrapText="1"/>
    </xf>
    <xf numFmtId="166" fontId="7" fillId="0" borderId="2" xfId="11" applyNumberFormat="1" applyFont="1" applyFill="1" applyBorder="1" applyAlignment="1">
      <alignment horizontal="center" vertical="center" wrapText="1"/>
    </xf>
    <xf numFmtId="168" fontId="7" fillId="0" borderId="7" xfId="1" applyNumberFormat="1" applyFont="1" applyFill="1" applyBorder="1" applyAlignment="1" applyProtection="1">
      <alignment horizontal="center" vertical="center" wrapText="1"/>
    </xf>
    <xf numFmtId="2" fontId="7" fillId="0" borderId="8" xfId="4" applyNumberFormat="1" applyFont="1" applyFill="1" applyBorder="1" applyAlignment="1" applyProtection="1">
      <alignment horizontal="center" vertical="center" wrapText="1"/>
    </xf>
    <xf numFmtId="2" fontId="7" fillId="0" borderId="2" xfId="4" applyNumberFormat="1" applyFont="1" applyFill="1" applyBorder="1" applyAlignment="1" applyProtection="1">
      <alignment horizontal="center" vertical="center" wrapText="1"/>
    </xf>
    <xf numFmtId="168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left" vertical="center" wrapText="1"/>
    </xf>
    <xf numFmtId="0" fontId="24" fillId="0" borderId="0" xfId="0" applyFont="1" applyFill="1" applyAlignment="1">
      <alignment vertical="center"/>
    </xf>
    <xf numFmtId="168" fontId="7" fillId="0" borderId="9" xfId="1" applyNumberFormat="1" applyFont="1" applyFill="1" applyBorder="1" applyAlignment="1" applyProtection="1">
      <alignment horizontal="center" vertical="center"/>
    </xf>
    <xf numFmtId="168" fontId="7" fillId="0" borderId="10" xfId="1" applyNumberFormat="1" applyFont="1" applyFill="1" applyBorder="1" applyAlignment="1" applyProtection="1">
      <alignment horizontal="center" vertical="center" wrapText="1"/>
    </xf>
    <xf numFmtId="49" fontId="7" fillId="0" borderId="8" xfId="4" applyNumberFormat="1" applyFont="1" applyFill="1" applyBorder="1" applyAlignment="1" applyProtection="1">
      <alignment horizontal="center" vertical="center" wrapText="1"/>
    </xf>
    <xf numFmtId="2" fontId="7" fillId="0" borderId="11" xfId="4" applyNumberFormat="1" applyFont="1" applyFill="1" applyBorder="1" applyAlignment="1" applyProtection="1">
      <alignment horizontal="left" vertical="center" wrapText="1"/>
    </xf>
    <xf numFmtId="0" fontId="7" fillId="0" borderId="8" xfId="4" applyFont="1" applyFill="1" applyBorder="1" applyAlignment="1" applyProtection="1">
      <alignment horizontal="center" vertical="center" wrapText="1"/>
    </xf>
    <xf numFmtId="0" fontId="7" fillId="0" borderId="2" xfId="4" applyFont="1" applyFill="1" applyBorder="1" applyAlignment="1" applyProtection="1">
      <alignment horizontal="left" vertical="center" wrapText="1"/>
    </xf>
    <xf numFmtId="0" fontId="7" fillId="0" borderId="8" xfId="4" applyFont="1" applyFill="1" applyBorder="1" applyAlignment="1" applyProtection="1">
      <alignment horizontal="left" vertical="center" wrapText="1"/>
    </xf>
    <xf numFmtId="2" fontId="7" fillId="0" borderId="2" xfId="4" applyNumberFormat="1" applyFont="1" applyFill="1" applyBorder="1" applyAlignment="1" applyProtection="1">
      <alignment horizontal="left" vertical="center" wrapText="1"/>
    </xf>
    <xf numFmtId="49" fontId="7" fillId="0" borderId="2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20" fillId="0" borderId="2" xfId="22" applyNumberFormat="1" applyFont="1" applyFill="1" applyBorder="1" applyAlignment="1" applyProtection="1">
      <alignment horizontal="center" vertical="center" wrapText="1"/>
    </xf>
    <xf numFmtId="0" fontId="20" fillId="0" borderId="2" xfId="22" applyFont="1" applyFill="1" applyBorder="1" applyAlignment="1">
      <alignment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2" fontId="20" fillId="0" borderId="2" xfId="22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 wrapText="1"/>
    </xf>
    <xf numFmtId="0" fontId="20" fillId="0" borderId="2" xfId="13" applyFont="1" applyFill="1" applyBorder="1" applyAlignment="1">
      <alignment horizontal="center" vertical="center" wrapText="1"/>
    </xf>
    <xf numFmtId="165" fontId="20" fillId="0" borderId="2" xfId="13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2" fontId="20" fillId="0" borderId="0" xfId="0" applyNumberFormat="1" applyFont="1" applyFill="1" applyAlignment="1">
      <alignment horizontal="left" vertical="center"/>
    </xf>
    <xf numFmtId="2" fontId="25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13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Fill="1" applyBorder="1" applyAlignment="1" applyProtection="1">
      <alignment horizontal="center" vertical="center" wrapText="1"/>
    </xf>
    <xf numFmtId="168" fontId="4" fillId="0" borderId="7" xfId="1" applyNumberFormat="1" applyFont="1" applyFill="1" applyBorder="1" applyAlignment="1" applyProtection="1">
      <alignment horizontal="center" vertical="center"/>
    </xf>
    <xf numFmtId="2" fontId="7" fillId="0" borderId="2" xfId="24" applyNumberFormat="1" applyFont="1" applyFill="1" applyBorder="1" applyAlignment="1" applyProtection="1">
      <alignment horizontal="center" vertical="center" wrapText="1"/>
    </xf>
    <xf numFmtId="0" fontId="4" fillId="0" borderId="0" xfId="22" applyNumberFormat="1" applyFont="1" applyFill="1" applyBorder="1" applyAlignment="1" applyProtection="1">
      <alignment vertical="center" wrapText="1"/>
    </xf>
    <xf numFmtId="2" fontId="7" fillId="0" borderId="0" xfId="4" applyNumberFormat="1" applyFont="1" applyFill="1" applyBorder="1" applyAlignment="1" applyProtection="1">
      <alignment horizontal="center" vertical="center" wrapText="1"/>
    </xf>
    <xf numFmtId="168" fontId="7" fillId="0" borderId="0" xfId="1" applyNumberFormat="1" applyFont="1" applyFill="1" applyBorder="1" applyAlignment="1" applyProtection="1">
      <alignment horizontal="center" vertical="center"/>
    </xf>
    <xf numFmtId="2" fontId="7" fillId="0" borderId="2" xfId="16" applyNumberFormat="1" applyFont="1" applyFill="1" applyBorder="1" applyAlignment="1">
      <alignment horizontal="center" vertical="center" wrapText="1"/>
    </xf>
    <xf numFmtId="0" fontId="7" fillId="0" borderId="0" xfId="22" applyFont="1" applyFill="1" applyBorder="1" applyAlignment="1">
      <alignment vertical="center" wrapText="1"/>
    </xf>
    <xf numFmtId="2" fontId="4" fillId="0" borderId="2" xfId="23" applyNumberFormat="1" applyFont="1" applyFill="1" applyBorder="1" applyAlignment="1">
      <alignment horizontal="center" vertical="center" wrapText="1"/>
    </xf>
    <xf numFmtId="168" fontId="7" fillId="0" borderId="0" xfId="1" applyNumberFormat="1" applyFont="1" applyFill="1" applyBorder="1" applyAlignment="1" applyProtection="1">
      <alignment horizontal="center" vertical="center" wrapText="1"/>
    </xf>
    <xf numFmtId="168" fontId="7" fillId="0" borderId="2" xfId="1" applyNumberFormat="1" applyFont="1" applyFill="1" applyBorder="1" applyAlignment="1" applyProtection="1">
      <alignment horizontal="center" vertical="center"/>
    </xf>
    <xf numFmtId="168" fontId="7" fillId="0" borderId="2" xfId="1" applyNumberFormat="1" applyFont="1" applyFill="1" applyBorder="1" applyAlignment="1" applyProtection="1">
      <alignment horizontal="center" vertical="center" wrapText="1"/>
    </xf>
    <xf numFmtId="2" fontId="18" fillId="0" borderId="2" xfId="4" applyNumberFormat="1" applyFont="1" applyFill="1" applyBorder="1" applyAlignment="1" applyProtection="1">
      <alignment horizontal="center" vertical="center" wrapText="1"/>
    </xf>
    <xf numFmtId="0" fontId="7" fillId="0" borderId="5" xfId="17" applyFont="1" applyFill="1" applyBorder="1" applyAlignment="1">
      <alignment horizontal="center" vertical="center" textRotation="90" wrapText="1"/>
    </xf>
    <xf numFmtId="0" fontId="4" fillId="0" borderId="5" xfId="2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8" fontId="4" fillId="0" borderId="12" xfId="1" applyNumberFormat="1" applyFont="1" applyFill="1" applyBorder="1" applyAlignment="1" applyProtection="1">
      <alignment horizontal="center" vertical="center" wrapText="1"/>
    </xf>
    <xf numFmtId="168" fontId="4" fillId="0" borderId="2" xfId="1" applyNumberFormat="1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vertical="center" wrapText="1"/>
      <protection locked="0"/>
    </xf>
    <xf numFmtId="0" fontId="6" fillId="0" borderId="2" xfId="22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13" applyFont="1" applyFill="1" applyBorder="1" applyAlignment="1">
      <alignment vertical="center" wrapText="1"/>
    </xf>
    <xf numFmtId="0" fontId="7" fillId="0" borderId="4" xfId="22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5" fillId="0" borderId="4" xfId="22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4" xfId="22" applyNumberFormat="1" applyFont="1" applyFill="1" applyBorder="1" applyAlignment="1" applyProtection="1">
      <alignment vertical="center" wrapText="1"/>
    </xf>
    <xf numFmtId="0" fontId="7" fillId="0" borderId="0" xfId="22" applyNumberFormat="1" applyFont="1" applyFill="1" applyBorder="1" applyAlignment="1" applyProtection="1">
      <alignment vertical="center" wrapText="1"/>
    </xf>
    <xf numFmtId="0" fontId="7" fillId="0" borderId="0" xfId="14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6" fillId="0" borderId="14" xfId="22" applyFont="1" applyFill="1" applyBorder="1" applyAlignment="1">
      <alignment horizontal="center" vertical="center" wrapText="1"/>
    </xf>
    <xf numFmtId="0" fontId="4" fillId="0" borderId="0" xfId="11" applyFont="1" applyFill="1" applyAlignment="1">
      <alignment horizontal="right" vertical="center"/>
    </xf>
    <xf numFmtId="2" fontId="4" fillId="0" borderId="0" xfId="11" applyNumberFormat="1" applyFont="1" applyFill="1" applyAlignment="1">
      <alignment vertical="center"/>
    </xf>
    <xf numFmtId="0" fontId="6" fillId="0" borderId="14" xfId="22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2" fontId="5" fillId="0" borderId="0" xfId="22" applyNumberFormat="1" applyFont="1" applyFill="1" applyAlignment="1">
      <alignment horizontal="center" vertical="center"/>
    </xf>
    <xf numFmtId="2" fontId="7" fillId="0" borderId="0" xfId="22" applyNumberFormat="1" applyFont="1" applyFill="1" applyAlignment="1">
      <alignment horizontal="center" vertical="center"/>
    </xf>
    <xf numFmtId="2" fontId="5" fillId="0" borderId="0" xfId="22" applyNumberFormat="1" applyFont="1" applyFill="1" applyBorder="1" applyAlignment="1">
      <alignment horizontal="center" vertical="center"/>
    </xf>
    <xf numFmtId="2" fontId="5" fillId="0" borderId="0" xfId="17" applyNumberFormat="1" applyFont="1" applyFill="1" applyBorder="1" applyAlignment="1">
      <alignment horizontal="center" vertical="center"/>
    </xf>
    <xf numFmtId="0" fontId="7" fillId="0" borderId="0" xfId="5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0" fontId="3" fillId="0" borderId="15" xfId="22" applyFont="1" applyFill="1" applyBorder="1" applyAlignment="1">
      <alignment horizontal="left" vertical="center"/>
    </xf>
    <xf numFmtId="2" fontId="5" fillId="0" borderId="0" xfId="17" applyNumberFormat="1" applyFont="1" applyFill="1" applyAlignment="1">
      <alignment horizontal="left" vertical="center" wrapText="1"/>
    </xf>
    <xf numFmtId="0" fontId="7" fillId="0" borderId="0" xfId="5" applyFont="1" applyFill="1" applyAlignment="1" applyProtection="1">
      <alignment horizontal="left" vertical="center" wrapText="1"/>
      <protection locked="0"/>
    </xf>
    <xf numFmtId="1" fontId="7" fillId="0" borderId="2" xfId="22" applyNumberFormat="1" applyFont="1" applyFill="1" applyBorder="1" applyAlignment="1">
      <alignment horizontal="left" vertical="center" wrapText="1"/>
    </xf>
    <xf numFmtId="0" fontId="7" fillId="0" borderId="0" xfId="14" applyFont="1" applyFill="1" applyBorder="1" applyAlignment="1">
      <alignment horizontal="left" vertical="center" wrapText="1"/>
    </xf>
    <xf numFmtId="2" fontId="7" fillId="0" borderId="0" xfId="22" applyNumberFormat="1" applyFont="1" applyFill="1" applyBorder="1" applyAlignment="1">
      <alignment horizontal="left" vertical="center" wrapText="1"/>
    </xf>
    <xf numFmtId="2" fontId="7" fillId="0" borderId="0" xfId="22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4" fillId="0" borderId="0" xfId="11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0" xfId="17" applyNumberFormat="1" applyFont="1" applyFill="1" applyAlignment="1">
      <alignment vertical="center"/>
    </xf>
    <xf numFmtId="0" fontId="7" fillId="0" borderId="0" xfId="17" applyFont="1" applyFill="1" applyBorder="1" applyAlignment="1">
      <alignment vertical="center" wrapText="1"/>
    </xf>
    <xf numFmtId="0" fontId="7" fillId="0" borderId="0" xfId="17" applyFont="1" applyFill="1" applyBorder="1" applyAlignment="1">
      <alignment horizontal="center" vertical="center" wrapText="1"/>
    </xf>
    <xf numFmtId="0" fontId="7" fillId="0" borderId="8" xfId="22" applyFont="1" applyFill="1" applyBorder="1" applyAlignment="1">
      <alignment horizontal="center" vertical="center" wrapText="1"/>
    </xf>
    <xf numFmtId="0" fontId="7" fillId="0" borderId="6" xfId="22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3" fillId="0" borderId="0" xfId="17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18" applyFont="1" applyFill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vertical="center" wrapText="1"/>
    </xf>
    <xf numFmtId="2" fontId="4" fillId="0" borderId="2" xfId="22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2" xfId="22" applyNumberFormat="1" applyFont="1" applyFill="1" applyBorder="1" applyAlignment="1" applyProtection="1">
      <alignment horizontal="left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" fontId="4" fillId="0" borderId="2" xfId="22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vertical="center"/>
    </xf>
    <xf numFmtId="2" fontId="4" fillId="0" borderId="2" xfId="11" applyNumberFormat="1" applyFont="1" applyFill="1" applyBorder="1" applyAlignment="1" applyProtection="1">
      <alignment horizontal="left" vertical="center" wrapText="1"/>
    </xf>
    <xf numFmtId="0" fontId="4" fillId="0" borderId="2" xfId="22" applyFont="1" applyFill="1" applyBorder="1" applyAlignment="1">
      <alignment vertical="center"/>
    </xf>
    <xf numFmtId="0" fontId="6" fillId="0" borderId="0" xfId="22" applyFont="1" applyFill="1" applyBorder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2" fontId="4" fillId="0" borderId="0" xfId="22" applyNumberFormat="1" applyFont="1" applyFill="1" applyBorder="1" applyAlignment="1">
      <alignment horizontal="left" vertical="center"/>
    </xf>
    <xf numFmtId="0" fontId="7" fillId="0" borderId="4" xfId="22" applyFont="1" applyFill="1" applyBorder="1" applyAlignment="1">
      <alignment horizontal="left" vertical="center" wrapText="1"/>
    </xf>
    <xf numFmtId="165" fontId="7" fillId="0" borderId="2" xfId="22" applyNumberFormat="1" applyFont="1" applyFill="1" applyBorder="1" applyAlignment="1">
      <alignment horizontal="center" vertical="center" wrapText="1"/>
    </xf>
    <xf numFmtId="166" fontId="7" fillId="0" borderId="0" xfId="11" applyNumberFormat="1" applyFont="1" applyFill="1" applyBorder="1" applyAlignment="1">
      <alignment horizontal="center" vertical="center" wrapText="1"/>
    </xf>
    <xf numFmtId="0" fontId="7" fillId="0" borderId="2" xfId="22" applyFont="1" applyFill="1" applyBorder="1" applyAlignment="1">
      <alignment horizontal="center" vertical="center"/>
    </xf>
    <xf numFmtId="2" fontId="4" fillId="0" borderId="0" xfId="23" applyNumberFormat="1" applyFont="1" applyFill="1" applyBorder="1" applyAlignment="1">
      <alignment horizontal="center" vertical="center" wrapText="1"/>
    </xf>
    <xf numFmtId="2" fontId="5" fillId="0" borderId="0" xfId="22" applyNumberFormat="1" applyFont="1" applyFill="1" applyAlignment="1">
      <alignment horizontal="left" vertical="center"/>
    </xf>
    <xf numFmtId="1" fontId="7" fillId="0" borderId="2" xfId="22" applyNumberFormat="1" applyFont="1" applyFill="1" applyBorder="1" applyAlignment="1">
      <alignment horizontal="left" vertical="center"/>
    </xf>
    <xf numFmtId="1" fontId="7" fillId="0" borderId="0" xfId="22" applyNumberFormat="1" applyFont="1" applyFill="1" applyBorder="1" applyAlignment="1">
      <alignment horizontal="left" vertical="center"/>
    </xf>
    <xf numFmtId="1" fontId="7" fillId="0" borderId="0" xfId="22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 wrapText="1"/>
    </xf>
    <xf numFmtId="1" fontId="7" fillId="0" borderId="0" xfId="22" applyNumberFormat="1" applyFont="1" applyFill="1" applyBorder="1" applyAlignment="1" applyProtection="1">
      <alignment horizontal="left" vertical="center"/>
    </xf>
    <xf numFmtId="0" fontId="3" fillId="0" borderId="0" xfId="17" applyFont="1" applyFill="1" applyAlignment="1">
      <alignment horizontal="left" vertical="center"/>
    </xf>
    <xf numFmtId="0" fontId="16" fillId="0" borderId="2" xfId="17" applyFont="1" applyFill="1" applyBorder="1" applyAlignment="1">
      <alignment horizontal="left" vertical="center"/>
    </xf>
    <xf numFmtId="0" fontId="7" fillId="0" borderId="0" xfId="14" applyFont="1" applyFill="1" applyBorder="1" applyAlignment="1">
      <alignment horizontal="left" vertical="center"/>
    </xf>
    <xf numFmtId="0" fontId="7" fillId="0" borderId="0" xfId="14" applyFont="1" applyFill="1" applyAlignment="1">
      <alignment horizontal="left" vertical="center"/>
    </xf>
    <xf numFmtId="0" fontId="7" fillId="0" borderId="0" xfId="17" applyFont="1" applyFill="1" applyBorder="1" applyAlignment="1">
      <alignment horizontal="left" vertical="center"/>
    </xf>
    <xf numFmtId="0" fontId="3" fillId="0" borderId="0" xfId="17" applyFont="1" applyFill="1" applyBorder="1" applyAlignment="1">
      <alignment horizontal="left" vertical="center"/>
    </xf>
    <xf numFmtId="0" fontId="4" fillId="0" borderId="0" xfId="14" applyFont="1" applyFill="1" applyBorder="1" applyAlignment="1">
      <alignment horizontal="left" vertical="center"/>
    </xf>
    <xf numFmtId="0" fontId="6" fillId="0" borderId="2" xfId="22" applyFont="1" applyFill="1" applyBorder="1" applyAlignment="1">
      <alignment horizontal="left" vertical="center"/>
    </xf>
    <xf numFmtId="0" fontId="3" fillId="0" borderId="0" xfId="22" applyFont="1" applyFill="1" applyBorder="1" applyAlignment="1">
      <alignment horizontal="left" vertical="center"/>
    </xf>
    <xf numFmtId="0" fontId="4" fillId="0" borderId="2" xfId="22" applyFont="1" applyFill="1" applyBorder="1" applyAlignment="1">
      <alignment horizontal="left" vertical="center"/>
    </xf>
    <xf numFmtId="0" fontId="4" fillId="0" borderId="0" xfId="22" applyFont="1" applyFill="1" applyBorder="1" applyAlignment="1">
      <alignment horizontal="left" vertical="center" wrapText="1"/>
    </xf>
    <xf numFmtId="0" fontId="4" fillId="0" borderId="0" xfId="22" applyFont="1" applyFill="1" applyAlignment="1">
      <alignment horizontal="left" vertical="center"/>
    </xf>
    <xf numFmtId="0" fontId="6" fillId="0" borderId="0" xfId="22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11" applyNumberFormat="1" applyFont="1" applyFill="1" applyBorder="1" applyAlignment="1" applyProtection="1">
      <alignment horizontal="left" vertical="center"/>
    </xf>
    <xf numFmtId="0" fontId="7" fillId="0" borderId="2" xfId="16" applyNumberFormat="1" applyFont="1" applyFill="1" applyBorder="1" applyAlignment="1" applyProtection="1">
      <alignment horizontal="left" vertical="center" wrapText="1"/>
    </xf>
    <xf numFmtId="0" fontId="7" fillId="0" borderId="0" xfId="11" applyNumberFormat="1" applyFont="1" applyFill="1" applyBorder="1" applyAlignment="1" applyProtection="1">
      <alignment horizontal="left" vertical="center" wrapText="1"/>
    </xf>
    <xf numFmtId="165" fontId="7" fillId="0" borderId="4" xfId="22" applyNumberFormat="1" applyFont="1" applyFill="1" applyBorder="1" applyAlignment="1">
      <alignment horizontal="center" vertical="center" wrapText="1"/>
    </xf>
    <xf numFmtId="2" fontId="7" fillId="0" borderId="7" xfId="22" applyNumberFormat="1" applyFont="1" applyFill="1" applyBorder="1" applyAlignment="1">
      <alignment horizontal="center" vertical="center" wrapText="1"/>
    </xf>
    <xf numFmtId="0" fontId="20" fillId="0" borderId="0" xfId="22" applyFont="1" applyFill="1" applyBorder="1" applyAlignment="1">
      <alignment vertical="center" wrapText="1"/>
    </xf>
    <xf numFmtId="0" fontId="20" fillId="0" borderId="2" xfId="22" applyFont="1" applyFill="1" applyBorder="1" applyAlignment="1">
      <alignment horizontal="left" vertical="center" wrapText="1"/>
    </xf>
    <xf numFmtId="0" fontId="8" fillId="0" borderId="0" xfId="22" applyFont="1" applyFill="1" applyBorder="1" applyAlignment="1">
      <alignment vertical="center"/>
    </xf>
    <xf numFmtId="2" fontId="20" fillId="0" borderId="0" xfId="22" applyNumberFormat="1" applyFont="1" applyFill="1" applyAlignment="1">
      <alignment vertical="center"/>
    </xf>
    <xf numFmtId="2" fontId="20" fillId="0" borderId="2" xfId="0" applyNumberFormat="1" applyFont="1" applyFill="1" applyBorder="1" applyAlignment="1">
      <alignment horizontal="left" vertical="center" wrapText="1"/>
    </xf>
    <xf numFmtId="1" fontId="20" fillId="0" borderId="2" xfId="0" applyNumberFormat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 wrapText="1"/>
    </xf>
    <xf numFmtId="0" fontId="8" fillId="0" borderId="0" xfId="22" applyFont="1" applyFill="1" applyAlignment="1">
      <alignment vertical="center"/>
    </xf>
    <xf numFmtId="0" fontId="20" fillId="0" borderId="0" xfId="22" applyFont="1" applyFill="1" applyAlignment="1">
      <alignment vertical="center"/>
    </xf>
    <xf numFmtId="2" fontId="7" fillId="0" borderId="2" xfId="26" applyNumberFormat="1" applyFont="1" applyFill="1" applyBorder="1" applyAlignment="1">
      <alignment horizontal="center" vertical="center" wrapText="1"/>
    </xf>
    <xf numFmtId="2" fontId="7" fillId="0" borderId="2" xfId="26" applyNumberFormat="1" applyFont="1" applyFill="1" applyBorder="1" applyAlignment="1" applyProtection="1">
      <alignment horizontal="center" vertical="center" wrapText="1"/>
    </xf>
    <xf numFmtId="168" fontId="7" fillId="0" borderId="25" xfId="1" applyNumberFormat="1" applyFont="1" applyFill="1" applyBorder="1" applyAlignment="1" applyProtection="1">
      <alignment horizontal="center" vertical="center" wrapText="1"/>
    </xf>
    <xf numFmtId="0" fontId="7" fillId="0" borderId="2" xfId="26" applyFont="1" applyFill="1" applyBorder="1" applyAlignment="1">
      <alignment horizontal="center" vertical="center" wrapText="1"/>
    </xf>
    <xf numFmtId="169" fontId="7" fillId="0" borderId="4" xfId="11" applyNumberFormat="1" applyFont="1" applyFill="1" applyBorder="1" applyAlignment="1">
      <alignment horizontal="center" vertical="center" wrapText="1"/>
    </xf>
    <xf numFmtId="2" fontId="7" fillId="0" borderId="5" xfId="22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right" vertical="center" wrapText="1"/>
    </xf>
    <xf numFmtId="2" fontId="7" fillId="0" borderId="7" xfId="22" applyNumberFormat="1" applyFont="1" applyFill="1" applyBorder="1" applyAlignment="1">
      <alignment horizontal="right" vertical="center" wrapText="1"/>
    </xf>
    <xf numFmtId="2" fontId="7" fillId="0" borderId="7" xfId="22" applyNumberFormat="1" applyFont="1" applyFill="1" applyBorder="1" applyAlignment="1" applyProtection="1">
      <alignment horizontal="right" vertical="center" wrapText="1"/>
    </xf>
    <xf numFmtId="2" fontId="4" fillId="0" borderId="2" xfId="24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7" fillId="0" borderId="2" xfId="22" applyNumberFormat="1" applyFont="1" applyFill="1" applyBorder="1" applyAlignment="1">
      <alignment horizontal="center" vertical="center" wrapText="1"/>
    </xf>
    <xf numFmtId="0" fontId="7" fillId="0" borderId="0" xfId="22" applyNumberFormat="1" applyFont="1" applyFill="1" applyBorder="1" applyAlignment="1">
      <alignment horizontal="center" vertical="center" wrapText="1"/>
    </xf>
    <xf numFmtId="2" fontId="4" fillId="0" borderId="2" xfId="23" applyNumberFormat="1" applyFont="1" applyFill="1" applyBorder="1" applyAlignment="1" applyProtection="1">
      <alignment horizontal="center" vertical="center" wrapText="1"/>
    </xf>
    <xf numFmtId="0" fontId="7" fillId="0" borderId="2" xfId="16" applyFont="1" applyFill="1" applyBorder="1" applyAlignment="1">
      <alignment horizontal="center" vertical="center" wrapText="1"/>
    </xf>
    <xf numFmtId="166" fontId="7" fillId="0" borderId="5" xfId="11" applyNumberFormat="1" applyFont="1" applyFill="1" applyBorder="1" applyAlignment="1">
      <alignment horizontal="center" vertical="center" wrapText="1"/>
    </xf>
    <xf numFmtId="2" fontId="7" fillId="0" borderId="26" xfId="22" applyNumberFormat="1" applyFont="1" applyFill="1" applyBorder="1" applyAlignment="1">
      <alignment horizontal="center" vertical="center" wrapText="1"/>
    </xf>
    <xf numFmtId="2" fontId="7" fillId="0" borderId="4" xfId="22" applyNumberFormat="1" applyFont="1" applyFill="1" applyBorder="1" applyAlignment="1">
      <alignment vertical="center" wrapText="1"/>
    </xf>
    <xf numFmtId="0" fontId="4" fillId="0" borderId="4" xfId="22" applyFont="1" applyFill="1" applyBorder="1" applyAlignment="1">
      <alignment vertical="center" wrapText="1"/>
    </xf>
    <xf numFmtId="2" fontId="4" fillId="0" borderId="4" xfId="22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2" fillId="0" borderId="2" xfId="4" applyFont="1" applyFill="1" applyBorder="1" applyAlignment="1" applyProtection="1">
      <alignment horizontal="left" vertical="center" wrapText="1"/>
    </xf>
    <xf numFmtId="0" fontId="7" fillId="0" borderId="2" xfId="4" applyFont="1" applyFill="1" applyBorder="1" applyAlignment="1" applyProtection="1">
      <alignment vertical="center"/>
    </xf>
    <xf numFmtId="0" fontId="7" fillId="0" borderId="0" xfId="5" applyFont="1" applyFill="1" applyAlignment="1" applyProtection="1">
      <alignment horizontal="left" vertical="center"/>
      <protection locked="0"/>
    </xf>
    <xf numFmtId="0" fontId="12" fillId="0" borderId="2" xfId="22" applyFont="1" applyFill="1" applyBorder="1" applyAlignment="1">
      <alignment horizontal="left" vertical="center"/>
    </xf>
    <xf numFmtId="0" fontId="12" fillId="0" borderId="2" xfId="22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vertical="center"/>
    </xf>
    <xf numFmtId="0" fontId="7" fillId="0" borderId="2" xfId="22" applyFont="1" applyFill="1" applyBorder="1" applyAlignment="1">
      <alignment horizontal="left" vertical="center"/>
    </xf>
    <xf numFmtId="2" fontId="7" fillId="0" borderId="2" xfId="22" applyNumberFormat="1" applyFont="1" applyFill="1" applyBorder="1" applyAlignment="1">
      <alignment horizontal="left" vertical="center"/>
    </xf>
    <xf numFmtId="165" fontId="7" fillId="0" borderId="0" xfId="17" applyNumberFormat="1" applyFont="1" applyFill="1" applyBorder="1" applyAlignment="1">
      <alignment horizontal="center" vertical="center"/>
    </xf>
    <xf numFmtId="2" fontId="7" fillId="0" borderId="2" xfId="22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1" fillId="0" borderId="2" xfId="22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165" fontId="20" fillId="0" borderId="7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165" fontId="20" fillId="0" borderId="4" xfId="13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26" xfId="22" applyFont="1" applyFill="1" applyBorder="1" applyAlignment="1">
      <alignment horizontal="center" vertical="center" wrapText="1"/>
    </xf>
    <xf numFmtId="2" fontId="20" fillId="0" borderId="8" xfId="4" applyNumberFormat="1" applyFont="1" applyFill="1" applyBorder="1" applyAlignment="1" applyProtection="1">
      <alignment horizontal="center" vertical="center" wrapText="1"/>
    </xf>
    <xf numFmtId="2" fontId="20" fillId="0" borderId="2" xfId="4" applyNumberFormat="1" applyFont="1" applyFill="1" applyBorder="1" applyAlignment="1" applyProtection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center" vertical="center" wrapText="1"/>
    </xf>
    <xf numFmtId="0" fontId="20" fillId="0" borderId="26" xfId="13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 wrapText="1"/>
    </xf>
    <xf numFmtId="0" fontId="20" fillId="0" borderId="4" xfId="22" applyFont="1" applyFill="1" applyBorder="1" applyAlignment="1">
      <alignment horizontal="center" vertical="center" wrapText="1"/>
    </xf>
    <xf numFmtId="2" fontId="20" fillId="0" borderId="4" xfId="22" applyNumberFormat="1" applyFont="1" applyFill="1" applyBorder="1" applyAlignment="1">
      <alignment horizontal="center" vertical="center" wrapText="1"/>
    </xf>
    <xf numFmtId="165" fontId="20" fillId="0" borderId="4" xfId="22" applyNumberFormat="1" applyFont="1" applyFill="1" applyBorder="1" applyAlignment="1">
      <alignment horizontal="center" vertical="center"/>
    </xf>
    <xf numFmtId="0" fontId="20" fillId="0" borderId="4" xfId="13" applyFont="1" applyFill="1" applyBorder="1" applyAlignment="1">
      <alignment horizontal="center" vertical="center" wrapText="1"/>
    </xf>
    <xf numFmtId="1" fontId="20" fillId="0" borderId="4" xfId="22" applyNumberFormat="1" applyFont="1" applyFill="1" applyBorder="1" applyAlignment="1">
      <alignment horizontal="center" vertical="center" wrapText="1"/>
    </xf>
    <xf numFmtId="0" fontId="20" fillId="0" borderId="4" xfId="22" applyNumberFormat="1" applyFont="1" applyFill="1" applyBorder="1" applyAlignment="1" applyProtection="1">
      <alignment horizontal="center" vertical="center" wrapText="1"/>
    </xf>
    <xf numFmtId="2" fontId="20" fillId="0" borderId="4" xfId="22" applyNumberFormat="1" applyFont="1" applyFill="1" applyBorder="1" applyAlignment="1" applyProtection="1">
      <alignment horizontal="center" vertical="center" wrapText="1"/>
    </xf>
    <xf numFmtId="0" fontId="20" fillId="0" borderId="0" xfId="22" applyNumberFormat="1" applyFont="1" applyFill="1" applyBorder="1" applyAlignment="1" applyProtection="1">
      <alignment horizontal="center" vertical="center" wrapText="1"/>
    </xf>
    <xf numFmtId="2" fontId="20" fillId="0" borderId="0" xfId="22" applyNumberFormat="1" applyFont="1" applyFill="1" applyBorder="1" applyAlignment="1">
      <alignment horizontal="center" vertical="center" wrapText="1"/>
    </xf>
    <xf numFmtId="0" fontId="8" fillId="0" borderId="0" xfId="22" applyFont="1" applyFill="1" applyAlignment="1">
      <alignment horizontal="center" vertical="center"/>
    </xf>
    <xf numFmtId="0" fontId="20" fillId="0" borderId="0" xfId="17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 wrapText="1"/>
    </xf>
    <xf numFmtId="2" fontId="7" fillId="0" borderId="31" xfId="23" applyNumberFormat="1" applyFont="1" applyFill="1" applyBorder="1" applyAlignment="1">
      <alignment horizontal="center" vertical="center" wrapText="1"/>
    </xf>
    <xf numFmtId="2" fontId="7" fillId="0" borderId="4" xfId="23" applyNumberFormat="1" applyFont="1" applyFill="1" applyBorder="1" applyAlignment="1">
      <alignment horizontal="center" vertical="center" wrapText="1"/>
    </xf>
    <xf numFmtId="2" fontId="7" fillId="0" borderId="4" xfId="20" applyNumberFormat="1" applyFont="1" applyFill="1" applyBorder="1" applyAlignment="1">
      <alignment horizontal="center" vertical="center" wrapText="1"/>
    </xf>
    <xf numFmtId="2" fontId="7" fillId="0" borderId="4" xfId="23" applyNumberFormat="1" applyFont="1" applyFill="1" applyBorder="1" applyAlignment="1" applyProtection="1">
      <alignment horizontal="center" vertical="center" wrapText="1"/>
    </xf>
    <xf numFmtId="2" fontId="7" fillId="0" borderId="7" xfId="20" applyNumberFormat="1" applyFont="1" applyFill="1" applyBorder="1" applyAlignment="1">
      <alignment horizontal="center" vertical="center" wrapText="1"/>
    </xf>
    <xf numFmtId="2" fontId="7" fillId="0" borderId="7" xfId="23" applyNumberFormat="1" applyFont="1" applyFill="1" applyBorder="1" applyAlignment="1">
      <alignment horizontal="center" vertical="center" wrapText="1"/>
    </xf>
    <xf numFmtId="2" fontId="7" fillId="0" borderId="31" xfId="20" applyNumberFormat="1" applyFont="1" applyFill="1" applyBorder="1" applyAlignment="1">
      <alignment horizontal="center" vertical="center" wrapText="1"/>
    </xf>
    <xf numFmtId="2" fontId="7" fillId="0" borderId="7" xfId="22" applyNumberFormat="1" applyFont="1" applyFill="1" applyBorder="1" applyAlignment="1" applyProtection="1">
      <alignment horizontal="center" vertical="center" wrapText="1"/>
    </xf>
    <xf numFmtId="2" fontId="7" fillId="0" borderId="4" xfId="19" applyNumberFormat="1" applyFont="1" applyFill="1" applyBorder="1" applyAlignment="1">
      <alignment horizontal="center" vertical="center" wrapText="1"/>
    </xf>
    <xf numFmtId="2" fontId="7" fillId="0" borderId="4" xfId="19" applyNumberFormat="1" applyFont="1" applyFill="1" applyBorder="1" applyAlignment="1" applyProtection="1">
      <alignment horizontal="center" vertical="center" wrapText="1"/>
    </xf>
    <xf numFmtId="2" fontId="7" fillId="0" borderId="4" xfId="0" applyNumberFormat="1" applyFont="1" applyFill="1" applyBorder="1" applyAlignment="1" applyProtection="1">
      <alignment horizontal="center" vertical="center" wrapText="1"/>
    </xf>
    <xf numFmtId="2" fontId="7" fillId="0" borderId="2" xfId="23" applyNumberFormat="1" applyFont="1" applyFill="1" applyBorder="1" applyAlignment="1">
      <alignment horizontal="center" vertical="center" wrapText="1"/>
    </xf>
    <xf numFmtId="2" fontId="7" fillId="0" borderId="5" xfId="23" applyNumberFormat="1" applyFont="1" applyFill="1" applyBorder="1" applyAlignment="1" applyProtection="1">
      <alignment horizontal="center" vertical="center" wrapText="1"/>
    </xf>
    <xf numFmtId="2" fontId="7" fillId="0" borderId="5" xfId="23" applyNumberFormat="1" applyFont="1" applyFill="1" applyBorder="1" applyAlignment="1">
      <alignment horizontal="center" vertical="center" wrapText="1"/>
    </xf>
    <xf numFmtId="2" fontId="7" fillId="0" borderId="2" xfId="23" applyNumberFormat="1" applyFont="1" applyFill="1" applyBorder="1" applyAlignment="1" applyProtection="1">
      <alignment horizontal="center" vertical="center" wrapText="1"/>
    </xf>
    <xf numFmtId="2" fontId="4" fillId="0" borderId="2" xfId="15" applyNumberFormat="1" applyFont="1" applyFill="1" applyBorder="1" applyAlignment="1">
      <alignment horizontal="center" vertical="center"/>
    </xf>
    <xf numFmtId="2" fontId="4" fillId="0" borderId="2" xfId="11" applyNumberFormat="1" applyFont="1" applyFill="1" applyBorder="1" applyAlignment="1">
      <alignment horizontal="center" vertical="center"/>
    </xf>
    <xf numFmtId="2" fontId="4" fillId="0" borderId="2" xfId="7" applyNumberFormat="1" applyFont="1" applyFill="1" applyBorder="1" applyAlignment="1">
      <alignment horizontal="center" vertical="center"/>
    </xf>
    <xf numFmtId="2" fontId="7" fillId="0" borderId="2" xfId="1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13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49" fontId="4" fillId="0" borderId="4" xfId="23" applyNumberFormat="1" applyFont="1" applyFill="1" applyBorder="1" applyAlignment="1" applyProtection="1">
      <alignment horizontal="center" vertical="center" wrapText="1"/>
    </xf>
    <xf numFmtId="2" fontId="4" fillId="0" borderId="4" xfId="2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7" fillId="0" borderId="4" xfId="25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4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2" fontId="7" fillId="0" borderId="2" xfId="15" applyNumberFormat="1" applyFont="1" applyFill="1" applyBorder="1" applyAlignment="1">
      <alignment horizontal="center" vertical="center"/>
    </xf>
    <xf numFmtId="2" fontId="7" fillId="0" borderId="2" xfId="1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2" fontId="7" fillId="0" borderId="4" xfId="24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2" fontId="7" fillId="0" borderId="32" xfId="24" applyNumberFormat="1" applyFont="1" applyFill="1" applyBorder="1" applyAlignment="1">
      <alignment horizontal="center" vertical="center" wrapText="1"/>
    </xf>
    <xf numFmtId="2" fontId="7" fillId="0" borderId="2" xfId="7" applyNumberFormat="1" applyFont="1" applyFill="1" applyBorder="1" applyAlignment="1">
      <alignment horizontal="center" vertical="center"/>
    </xf>
    <xf numFmtId="2" fontId="7" fillId="0" borderId="4" xfId="3" applyNumberFormat="1" applyFont="1" applyFill="1" applyBorder="1" applyAlignment="1" applyProtection="1">
      <alignment horizontal="center" vertical="center"/>
      <protection locked="0"/>
    </xf>
    <xf numFmtId="17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13" applyFont="1" applyFill="1" applyBorder="1" applyAlignment="1">
      <alignment vertical="center"/>
    </xf>
    <xf numFmtId="0" fontId="7" fillId="0" borderId="2" xfId="13" applyFont="1" applyFill="1" applyBorder="1" applyAlignment="1">
      <alignment horizontal="center" vertical="center"/>
    </xf>
    <xf numFmtId="1" fontId="7" fillId="0" borderId="2" xfId="13" applyNumberFormat="1" applyFont="1" applyFill="1" applyBorder="1" applyAlignment="1">
      <alignment horizontal="center" vertical="center"/>
    </xf>
    <xf numFmtId="0" fontId="7" fillId="0" borderId="2" xfId="1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4" fillId="0" borderId="31" xfId="23" applyNumberFormat="1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 wrapText="1"/>
    </xf>
    <xf numFmtId="2" fontId="4" fillId="0" borderId="31" xfId="23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7" fillId="0" borderId="31" xfId="25" applyNumberFormat="1" applyFont="1" applyFill="1" applyBorder="1" applyAlignment="1">
      <alignment horizontal="center" vertical="center" wrapText="1"/>
    </xf>
    <xf numFmtId="49" fontId="4" fillId="0" borderId="2" xfId="23" applyNumberFormat="1" applyFont="1" applyFill="1" applyBorder="1" applyAlignment="1" applyProtection="1">
      <alignment horizontal="center" vertical="center" wrapText="1"/>
    </xf>
    <xf numFmtId="2" fontId="7" fillId="0" borderId="2" xfId="25" applyNumberFormat="1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vertical="center" wrapText="1"/>
    </xf>
    <xf numFmtId="0" fontId="4" fillId="0" borderId="2" xfId="13" applyFont="1" applyFill="1" applyBorder="1" applyAlignment="1">
      <alignment horizontal="center" vertical="center" wrapText="1"/>
    </xf>
    <xf numFmtId="165" fontId="4" fillId="0" borderId="2" xfId="23" applyNumberFormat="1" applyFont="1" applyFill="1" applyBorder="1" applyAlignment="1">
      <alignment horizontal="center" vertical="center"/>
    </xf>
    <xf numFmtId="0" fontId="7" fillId="0" borderId="5" xfId="17" applyFont="1" applyFill="1" applyBorder="1" applyAlignment="1">
      <alignment horizontal="left" vertical="center" wrapText="1"/>
    </xf>
    <xf numFmtId="168" fontId="4" fillId="0" borderId="2" xfId="14" applyNumberFormat="1" applyFont="1" applyFill="1" applyBorder="1" applyAlignment="1">
      <alignment horizontal="center" vertical="center"/>
    </xf>
    <xf numFmtId="168" fontId="4" fillId="0" borderId="2" xfId="17" applyNumberFormat="1" applyFont="1" applyFill="1" applyBorder="1" applyAlignment="1">
      <alignment horizontal="center" vertical="center"/>
    </xf>
    <xf numFmtId="168" fontId="4" fillId="0" borderId="2" xfId="17" applyNumberFormat="1" applyFont="1" applyFill="1" applyBorder="1" applyAlignment="1">
      <alignment vertical="center"/>
    </xf>
    <xf numFmtId="0" fontId="12" fillId="0" borderId="2" xfId="17" applyFont="1" applyFill="1" applyBorder="1" applyAlignment="1">
      <alignment horizontal="center" vertical="center" wrapText="1"/>
    </xf>
    <xf numFmtId="2" fontId="7" fillId="0" borderId="2" xfId="17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vertical="center"/>
    </xf>
    <xf numFmtId="2" fontId="7" fillId="0" borderId="2" xfId="17" applyNumberFormat="1" applyFont="1" applyFill="1" applyBorder="1" applyAlignment="1">
      <alignment horizontal="center" vertical="center" wrapText="1"/>
    </xf>
    <xf numFmtId="2" fontId="7" fillId="0" borderId="2" xfId="14" applyNumberFormat="1" applyFont="1" applyFill="1" applyBorder="1" applyAlignment="1">
      <alignment horizontal="center" vertical="center" wrapText="1"/>
    </xf>
    <xf numFmtId="0" fontId="7" fillId="0" borderId="0" xfId="16" applyNumberFormat="1" applyFont="1" applyFill="1" applyBorder="1" applyAlignment="1" applyProtection="1">
      <alignment horizontal="right" vertical="center" wrapText="1"/>
    </xf>
    <xf numFmtId="0" fontId="7" fillId="0" borderId="0" xfId="11" applyFont="1" applyFill="1" applyAlignment="1">
      <alignment horizontal="right" vertical="center" wrapText="1"/>
    </xf>
    <xf numFmtId="0" fontId="7" fillId="0" borderId="0" xfId="9" applyFont="1" applyFill="1" applyAlignment="1">
      <alignment horizontal="right" vertical="center" wrapText="1"/>
    </xf>
    <xf numFmtId="0" fontId="7" fillId="0" borderId="0" xfId="11" applyFont="1" applyFill="1" applyAlignment="1">
      <alignment horizontal="right" vertical="center"/>
    </xf>
    <xf numFmtId="2" fontId="20" fillId="0" borderId="2" xfId="23" applyNumberFormat="1" applyFont="1" applyFill="1" applyBorder="1" applyAlignment="1">
      <alignment horizontal="center" vertical="center" wrapText="1"/>
    </xf>
    <xf numFmtId="168" fontId="20" fillId="0" borderId="2" xfId="1" applyNumberFormat="1" applyFont="1" applyFill="1" applyBorder="1" applyAlignment="1" applyProtection="1">
      <alignment horizontal="center" vertical="center" wrapText="1"/>
    </xf>
    <xf numFmtId="2" fontId="20" fillId="0" borderId="2" xfId="11" applyNumberFormat="1" applyFont="1" applyFill="1" applyBorder="1" applyAlignment="1">
      <alignment horizontal="center" vertical="center" wrapText="1"/>
    </xf>
    <xf numFmtId="2" fontId="20" fillId="0" borderId="2" xfId="23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2" xfId="17" applyNumberFormat="1" applyFont="1" applyFill="1" applyBorder="1" applyAlignment="1">
      <alignment horizontal="center" vertical="center" wrapText="1"/>
    </xf>
    <xf numFmtId="2" fontId="5" fillId="0" borderId="2" xfId="22" applyNumberFormat="1" applyFont="1" applyFill="1" applyBorder="1" applyAlignment="1">
      <alignment horizontal="center" vertical="center"/>
    </xf>
    <xf numFmtId="0" fontId="5" fillId="0" borderId="2" xfId="22" applyFont="1" applyFill="1" applyBorder="1" applyAlignment="1">
      <alignment horizontal="center" vertical="center"/>
    </xf>
    <xf numFmtId="0" fontId="5" fillId="0" borderId="2" xfId="17" applyFont="1" applyFill="1" applyBorder="1" applyAlignment="1">
      <alignment horizontal="center" vertical="center"/>
    </xf>
    <xf numFmtId="0" fontId="5" fillId="0" borderId="2" xfId="22" applyFont="1" applyFill="1" applyBorder="1" applyAlignment="1">
      <alignment horizontal="left" vertical="center" wrapText="1"/>
    </xf>
    <xf numFmtId="0" fontId="4" fillId="0" borderId="2" xfId="18" applyFont="1" applyFill="1" applyBorder="1" applyAlignment="1">
      <alignment horizontal="center" vertical="center"/>
    </xf>
    <xf numFmtId="0" fontId="4" fillId="0" borderId="2" xfId="18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8" xfId="22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2" fontId="7" fillId="0" borderId="13" xfId="23" applyNumberFormat="1" applyFont="1" applyFill="1" applyBorder="1" applyAlignment="1">
      <alignment horizontal="center" vertical="center" wrapText="1"/>
    </xf>
    <xf numFmtId="168" fontId="7" fillId="0" borderId="8" xfId="1" applyNumberFormat="1" applyFont="1" applyFill="1" applyBorder="1" applyAlignment="1" applyProtection="1">
      <alignment horizontal="center" vertical="center"/>
    </xf>
    <xf numFmtId="168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2" xfId="23" applyFont="1" applyFill="1" applyBorder="1" applyAlignment="1">
      <alignment horizontal="center" vertical="center"/>
    </xf>
    <xf numFmtId="49" fontId="4" fillId="0" borderId="14" xfId="22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2" fontId="7" fillId="0" borderId="7" xfId="23" applyNumberFormat="1" applyFont="1" applyFill="1" applyBorder="1" applyAlignment="1" applyProtection="1">
      <alignment horizontal="center" vertical="center" wrapText="1"/>
    </xf>
    <xf numFmtId="2" fontId="7" fillId="0" borderId="2" xfId="20" applyNumberFormat="1" applyFont="1" applyFill="1" applyBorder="1" applyAlignment="1">
      <alignment horizontal="center" vertical="center" wrapText="1"/>
    </xf>
    <xf numFmtId="0" fontId="20" fillId="0" borderId="2" xfId="13" applyFont="1" applyFill="1" applyBorder="1" applyAlignment="1">
      <alignment vertical="center"/>
    </xf>
    <xf numFmtId="0" fontId="20" fillId="0" borderId="2" xfId="13" applyFont="1" applyFill="1" applyBorder="1" applyAlignment="1">
      <alignment vertical="center" wrapText="1"/>
    </xf>
    <xf numFmtId="0" fontId="5" fillId="0" borderId="1" xfId="17" applyFont="1" applyFill="1" applyBorder="1" applyAlignment="1">
      <alignment horizontal="center" vertical="center"/>
    </xf>
    <xf numFmtId="0" fontId="5" fillId="0" borderId="0" xfId="17" applyFont="1" applyFill="1" applyAlignment="1">
      <alignment vertical="center"/>
    </xf>
    <xf numFmtId="0" fontId="5" fillId="0" borderId="0" xfId="11" applyFont="1" applyFill="1" applyBorder="1" applyAlignment="1">
      <alignment vertical="center"/>
    </xf>
    <xf numFmtId="0" fontId="5" fillId="0" borderId="0" xfId="17" applyFont="1" applyFill="1" applyBorder="1" applyAlignment="1">
      <alignment horizontal="center" vertical="center"/>
    </xf>
    <xf numFmtId="2" fontId="5" fillId="0" borderId="1" xfId="17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2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Alignment="1">
      <alignment vertical="center"/>
    </xf>
    <xf numFmtId="0" fontId="5" fillId="0" borderId="0" xfId="14" applyFont="1" applyFill="1" applyBorder="1" applyAlignment="1">
      <alignment horizontal="right" vertical="center"/>
    </xf>
    <xf numFmtId="168" fontId="4" fillId="0" borderId="4" xfId="17" applyNumberFormat="1" applyFont="1" applyFill="1" applyBorder="1" applyAlignment="1">
      <alignment horizontal="center" vertical="center" wrapText="1"/>
    </xf>
    <xf numFmtId="168" fontId="4" fillId="0" borderId="4" xfId="17" applyNumberFormat="1" applyFont="1" applyFill="1" applyBorder="1" applyAlignment="1">
      <alignment horizontal="center" vertical="center"/>
    </xf>
    <xf numFmtId="168" fontId="4" fillId="0" borderId="4" xfId="14" applyNumberFormat="1" applyFont="1" applyFill="1" applyBorder="1" applyAlignment="1">
      <alignment horizontal="center" vertical="center" wrapText="1"/>
    </xf>
    <xf numFmtId="168" fontId="4" fillId="0" borderId="4" xfId="17" applyNumberFormat="1" applyFont="1" applyFill="1" applyBorder="1" applyAlignment="1">
      <alignment vertical="center"/>
    </xf>
    <xf numFmtId="168" fontId="4" fillId="0" borderId="4" xfId="11" applyNumberFormat="1" applyFont="1" applyFill="1" applyBorder="1" applyAlignment="1">
      <alignment horizontal="center" vertical="center"/>
    </xf>
    <xf numFmtId="168" fontId="4" fillId="0" borderId="4" xfId="14" applyNumberFormat="1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horizontal="center" vertical="center" wrapText="1"/>
    </xf>
    <xf numFmtId="167" fontId="7" fillId="0" borderId="2" xfId="8" applyNumberFormat="1" applyFont="1" applyFill="1" applyBorder="1" applyAlignment="1">
      <alignment horizontal="center" vertical="center" wrapText="1"/>
    </xf>
    <xf numFmtId="2" fontId="7" fillId="0" borderId="2" xfId="8" applyNumberFormat="1" applyFont="1" applyFill="1" applyBorder="1" applyAlignment="1">
      <alignment horizontal="center" vertical="center" wrapText="1"/>
    </xf>
    <xf numFmtId="1" fontId="7" fillId="0" borderId="2" xfId="8" applyNumberFormat="1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2" fontId="5" fillId="0" borderId="2" xfId="8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vertical="center"/>
    </xf>
    <xf numFmtId="2" fontId="20" fillId="0" borderId="2" xfId="0" applyNumberFormat="1" applyFont="1" applyFill="1" applyBorder="1" applyAlignment="1">
      <alignment vertical="center"/>
    </xf>
    <xf numFmtId="2" fontId="20" fillId="0" borderId="2" xfId="0" applyNumberFormat="1" applyFont="1" applyFill="1" applyBorder="1" applyAlignment="1">
      <alignment horizontal="center" vertical="center"/>
    </xf>
    <xf numFmtId="1" fontId="7" fillId="0" borderId="2" xfId="8" applyNumberFormat="1" applyFont="1" applyFill="1" applyBorder="1" applyAlignment="1">
      <alignment horizontal="center" vertical="center"/>
    </xf>
    <xf numFmtId="167" fontId="7" fillId="0" borderId="2" xfId="8" applyNumberFormat="1" applyFont="1" applyFill="1" applyBorder="1" applyAlignment="1">
      <alignment horizontal="center" vertical="center"/>
    </xf>
    <xf numFmtId="2" fontId="7" fillId="0" borderId="2" xfId="8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2" fontId="7" fillId="0" borderId="5" xfId="8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7" fillId="0" borderId="29" xfId="0" applyNumberFormat="1" applyFont="1" applyFill="1" applyBorder="1" applyAlignment="1">
      <alignment horizontal="center" vertical="center" wrapText="1"/>
    </xf>
    <xf numFmtId="168" fontId="7" fillId="0" borderId="4" xfId="22" applyNumberFormat="1" applyFont="1" applyFill="1" applyBorder="1" applyAlignment="1" applyProtection="1">
      <alignment horizontal="center" vertical="center" wrapText="1"/>
    </xf>
    <xf numFmtId="0" fontId="7" fillId="0" borderId="4" xfId="22" applyNumberFormat="1" applyFont="1" applyFill="1" applyBorder="1" applyAlignment="1" applyProtection="1">
      <alignment horizontal="center" vertical="center" wrapText="1"/>
    </xf>
    <xf numFmtId="2" fontId="7" fillId="0" borderId="4" xfId="2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2" fontId="7" fillId="0" borderId="35" xfId="4" applyNumberFormat="1" applyFont="1" applyFill="1" applyBorder="1" applyAlignment="1" applyProtection="1">
      <alignment horizontal="center" vertical="center" wrapText="1"/>
    </xf>
    <xf numFmtId="2" fontId="7" fillId="0" borderId="5" xfId="4" applyNumberFormat="1" applyFont="1" applyFill="1" applyBorder="1" applyAlignment="1" applyProtection="1">
      <alignment horizontal="center" vertical="center" wrapText="1"/>
    </xf>
    <xf numFmtId="164" fontId="7" fillId="0" borderId="2" xfId="1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65" fontId="7" fillId="0" borderId="4" xfId="13" applyNumberFormat="1" applyFont="1" applyFill="1" applyBorder="1" applyAlignment="1">
      <alignment horizontal="center" vertical="center" wrapText="1"/>
    </xf>
    <xf numFmtId="0" fontId="7" fillId="0" borderId="26" xfId="22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26" xfId="13" applyFont="1" applyFill="1" applyBorder="1" applyAlignment="1">
      <alignment horizontal="center" vertical="center"/>
    </xf>
    <xf numFmtId="2" fontId="7" fillId="0" borderId="3" xfId="22" applyNumberFormat="1" applyFont="1" applyFill="1" applyBorder="1" applyAlignment="1">
      <alignment horizontal="center" vertical="center" wrapText="1"/>
    </xf>
    <xf numFmtId="165" fontId="7" fillId="0" borderId="4" xfId="22" applyNumberFormat="1" applyFont="1" applyFill="1" applyBorder="1" applyAlignment="1">
      <alignment horizontal="center" vertical="center"/>
    </xf>
    <xf numFmtId="0" fontId="7" fillId="0" borderId="4" xfId="13" applyFont="1" applyFill="1" applyBorder="1" applyAlignment="1">
      <alignment horizontal="center" vertical="center" wrapText="1"/>
    </xf>
    <xf numFmtId="1" fontId="7" fillId="0" borderId="4" xfId="22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0" xfId="11" applyFont="1" applyFill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165" fontId="7" fillId="0" borderId="29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17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1" fontId="7" fillId="0" borderId="37" xfId="0" applyNumberFormat="1" applyFont="1" applyFill="1" applyBorder="1" applyAlignment="1">
      <alignment horizontal="center" vertical="center" wrapText="1"/>
    </xf>
    <xf numFmtId="2" fontId="7" fillId="0" borderId="29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left" vertical="center"/>
    </xf>
    <xf numFmtId="0" fontId="36" fillId="0" borderId="0" xfId="0" applyFont="1" applyFill="1" applyAlignment="1">
      <alignment vertical="center"/>
    </xf>
    <xf numFmtId="0" fontId="36" fillId="0" borderId="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164" fontId="7" fillId="0" borderId="0" xfId="14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11" applyNumberFormat="1" applyFont="1" applyFill="1" applyBorder="1" applyAlignment="1">
      <alignment horizontal="center" vertical="center"/>
    </xf>
    <xf numFmtId="0" fontId="7" fillId="0" borderId="0" xfId="17" applyFont="1" applyFill="1" applyBorder="1" applyAlignment="1">
      <alignment horizontal="center" vertical="center" textRotation="90" wrapText="1"/>
    </xf>
    <xf numFmtId="0" fontId="16" fillId="0" borderId="0" xfId="17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" fontId="7" fillId="0" borderId="0" xfId="23" applyNumberFormat="1" applyFont="1" applyFill="1" applyBorder="1" applyAlignment="1">
      <alignment horizontal="center" vertical="center" wrapText="1"/>
    </xf>
    <xf numFmtId="2" fontId="7" fillId="0" borderId="0" xfId="22" applyNumberFormat="1" applyFont="1" applyFill="1" applyBorder="1" applyAlignment="1" applyProtection="1">
      <alignment horizontal="center" vertical="center" wrapText="1"/>
    </xf>
    <xf numFmtId="0" fontId="7" fillId="0" borderId="2" xfId="11" applyNumberFormat="1" applyFont="1" applyFill="1" applyBorder="1" applyAlignment="1" applyProtection="1">
      <alignment horizontal="center" vertical="center"/>
    </xf>
    <xf numFmtId="0" fontId="7" fillId="0" borderId="2" xfId="11" applyNumberFormat="1" applyFont="1" applyFill="1" applyBorder="1" applyAlignment="1" applyProtection="1">
      <alignment horizontal="right" vertical="center" wrapText="1"/>
    </xf>
    <xf numFmtId="0" fontId="7" fillId="0" borderId="2" xfId="11" applyNumberFormat="1" applyFont="1" applyFill="1" applyBorder="1" applyAlignment="1" applyProtection="1">
      <alignment horizontal="center" vertical="center" wrapText="1"/>
    </xf>
    <xf numFmtId="0" fontId="7" fillId="0" borderId="2" xfId="11" applyNumberFormat="1" applyFont="1" applyFill="1" applyBorder="1" applyAlignment="1" applyProtection="1">
      <alignment vertical="center" wrapText="1"/>
    </xf>
    <xf numFmtId="165" fontId="7" fillId="0" borderId="2" xfId="11" applyNumberFormat="1" applyFont="1" applyFill="1" applyBorder="1" applyAlignment="1" applyProtection="1">
      <alignment horizontal="center" vertical="center"/>
    </xf>
    <xf numFmtId="1" fontId="7" fillId="0" borderId="2" xfId="11" applyNumberFormat="1" applyFont="1" applyFill="1" applyBorder="1" applyAlignment="1" applyProtection="1">
      <alignment horizontal="center" vertical="center"/>
    </xf>
    <xf numFmtId="0" fontId="7" fillId="0" borderId="2" xfId="11" applyFont="1" applyFill="1" applyBorder="1" applyAlignment="1">
      <alignment vertical="center" wrapText="1"/>
    </xf>
    <xf numFmtId="49" fontId="7" fillId="0" borderId="2" xfId="11" applyNumberFormat="1" applyFont="1" applyFill="1" applyBorder="1" applyAlignment="1" applyProtection="1">
      <alignment horizontal="center" vertical="center"/>
    </xf>
    <xf numFmtId="0" fontId="4" fillId="0" borderId="2" xfId="11" applyFont="1" applyFill="1" applyBorder="1" applyAlignment="1">
      <alignment vertical="center" wrapText="1"/>
    </xf>
    <xf numFmtId="0" fontId="6" fillId="0" borderId="8" xfId="9" applyFont="1" applyFill="1" applyBorder="1" applyAlignment="1">
      <alignment horizontal="center" vertical="justify"/>
    </xf>
    <xf numFmtId="0" fontId="4" fillId="0" borderId="2" xfId="0" applyNumberFormat="1" applyFont="1" applyFill="1" applyBorder="1" applyAlignment="1">
      <alignment horizontal="center" vertical="justify"/>
    </xf>
    <xf numFmtId="0" fontId="4" fillId="0" borderId="2" xfId="0" applyNumberFormat="1" applyFont="1" applyFill="1" applyBorder="1" applyAlignment="1">
      <alignment horizontal="left" vertical="justify"/>
    </xf>
    <xf numFmtId="2" fontId="4" fillId="0" borderId="2" xfId="14" applyNumberFormat="1" applyFont="1" applyFill="1" applyBorder="1" applyAlignment="1">
      <alignment horizontal="center" vertical="justify"/>
    </xf>
    <xf numFmtId="2" fontId="6" fillId="0" borderId="2" xfId="14" applyNumberFormat="1" applyFont="1" applyFill="1" applyBorder="1" applyAlignment="1">
      <alignment horizontal="center" vertical="justify"/>
    </xf>
    <xf numFmtId="165" fontId="4" fillId="0" borderId="2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0" xfId="22" applyFont="1" applyFill="1" applyBorder="1" applyAlignment="1">
      <alignment vertical="center" wrapText="1"/>
    </xf>
    <xf numFmtId="165" fontId="7" fillId="0" borderId="37" xfId="0" applyNumberFormat="1" applyFont="1" applyFill="1" applyBorder="1" applyAlignment="1">
      <alignment vertical="center" wrapText="1"/>
    </xf>
    <xf numFmtId="0" fontId="5" fillId="0" borderId="0" xfId="1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22" applyFont="1" applyFill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0" fontId="7" fillId="0" borderId="2" xfId="17" applyFont="1" applyFill="1" applyBorder="1" applyAlignment="1">
      <alignment horizontal="center" vertical="center"/>
    </xf>
    <xf numFmtId="0" fontId="7" fillId="0" borderId="2" xfId="22" applyFont="1" applyFill="1" applyBorder="1" applyAlignment="1">
      <alignment horizontal="center" vertical="center" textRotation="90" wrapText="1"/>
    </xf>
    <xf numFmtId="0" fontId="7" fillId="0" borderId="2" xfId="22" applyFont="1" applyFill="1" applyBorder="1" applyAlignment="1">
      <alignment vertical="center" wrapText="1"/>
    </xf>
    <xf numFmtId="0" fontId="7" fillId="0" borderId="2" xfId="22" applyFont="1" applyFill="1" applyBorder="1" applyAlignment="1">
      <alignment horizontal="center" vertical="center" wrapText="1"/>
    </xf>
    <xf numFmtId="0" fontId="6" fillId="0" borderId="2" xfId="22" applyFont="1" applyFill="1" applyBorder="1" applyAlignment="1">
      <alignment horizontal="center" vertical="center" wrapText="1"/>
    </xf>
    <xf numFmtId="0" fontId="3" fillId="0" borderId="0" xfId="22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left" vertical="center"/>
    </xf>
    <xf numFmtId="0" fontId="5" fillId="0" borderId="0" xfId="22" applyFont="1" applyFill="1" applyAlignment="1">
      <alignment horizontal="right" vertical="center"/>
    </xf>
    <xf numFmtId="0" fontId="7" fillId="0" borderId="2" xfId="22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22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22" applyFont="1" applyFill="1" applyBorder="1" applyAlignment="1">
      <alignment horizontal="right" vertical="center"/>
    </xf>
    <xf numFmtId="2" fontId="5" fillId="0" borderId="0" xfId="22" applyNumberFormat="1" applyFont="1" applyFill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17" applyFont="1" applyFill="1" applyBorder="1" applyAlignment="1">
      <alignment horizontal="center" vertical="center"/>
    </xf>
    <xf numFmtId="0" fontId="7" fillId="0" borderId="2" xfId="17" applyFont="1" applyFill="1" applyBorder="1" applyAlignment="1">
      <alignment horizontal="center" vertical="center" textRotation="90" wrapText="1"/>
    </xf>
    <xf numFmtId="0" fontId="7" fillId="0" borderId="2" xfId="17" applyFont="1" applyFill="1" applyBorder="1" applyAlignment="1">
      <alignment horizontal="center" vertical="center" wrapText="1"/>
    </xf>
    <xf numFmtId="0" fontId="7" fillId="0" borderId="36" xfId="11" applyFont="1" applyFill="1" applyBorder="1" applyAlignment="1">
      <alignment horizontal="left" vertical="center" wrapText="1"/>
    </xf>
    <xf numFmtId="0" fontId="7" fillId="0" borderId="2" xfId="17" applyFont="1" applyFill="1" applyBorder="1" applyAlignment="1">
      <alignment horizontal="left" vertical="center" wrapText="1"/>
    </xf>
    <xf numFmtId="0" fontId="5" fillId="0" borderId="0" xfId="17" applyFont="1" applyFill="1" applyAlignment="1">
      <alignment horizontal="right" vertical="center"/>
    </xf>
    <xf numFmtId="0" fontId="6" fillId="0" borderId="2" xfId="9" applyFont="1" applyFill="1" applyBorder="1" applyAlignment="1">
      <alignment horizontal="center" vertical="justify"/>
    </xf>
    <xf numFmtId="165" fontId="20" fillId="0" borderId="2" xfId="0" applyNumberFormat="1" applyFont="1" applyFill="1" applyBorder="1" applyAlignment="1">
      <alignment horizontal="left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vertical="center"/>
    </xf>
    <xf numFmtId="0" fontId="7" fillId="0" borderId="44" xfId="0" applyFont="1" applyFill="1" applyBorder="1" applyAlignment="1">
      <alignment horizontal="center" vertical="center" wrapText="1"/>
    </xf>
    <xf numFmtId="2" fontId="7" fillId="0" borderId="43" xfId="0" applyNumberFormat="1" applyFont="1" applyFill="1" applyBorder="1" applyAlignment="1">
      <alignment horizontal="center" vertical="center" wrapText="1"/>
    </xf>
    <xf numFmtId="0" fontId="22" fillId="0" borderId="0" xfId="11" applyFont="1" applyFill="1" applyAlignment="1">
      <alignment horizontal="center" vertical="center"/>
    </xf>
    <xf numFmtId="165" fontId="4" fillId="0" borderId="2" xfId="22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right" vertical="center"/>
    </xf>
    <xf numFmtId="2" fontId="5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 wrapText="1"/>
    </xf>
    <xf numFmtId="2" fontId="7" fillId="0" borderId="29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1" fontId="7" fillId="0" borderId="21" xfId="0" applyNumberFormat="1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165" fontId="7" fillId="0" borderId="2" xfId="11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/>
    </xf>
    <xf numFmtId="168" fontId="7" fillId="0" borderId="5" xfId="1" applyNumberFormat="1" applyFont="1" applyFill="1" applyBorder="1" applyAlignment="1" applyProtection="1">
      <alignment horizontal="center" vertical="center" wrapText="1"/>
    </xf>
    <xf numFmtId="168" fontId="7" fillId="0" borderId="12" xfId="1" applyNumberFormat="1" applyFont="1" applyFill="1" applyBorder="1" applyAlignment="1" applyProtection="1">
      <alignment horizontal="center" vertical="center" wrapText="1"/>
    </xf>
    <xf numFmtId="9" fontId="5" fillId="0" borderId="0" xfId="4" applyNumberFormat="1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40" fillId="0" borderId="4" xfId="27" applyFont="1" applyBorder="1" applyAlignment="1">
      <alignment vertical="center" wrapText="1"/>
    </xf>
    <xf numFmtId="0" fontId="40" fillId="0" borderId="2" xfId="0" applyFont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18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11" applyFont="1" applyFill="1" applyAlignment="1">
      <alignment horizontal="center" vertical="center"/>
    </xf>
    <xf numFmtId="0" fontId="5" fillId="0" borderId="2" xfId="16" applyNumberFormat="1" applyFont="1" applyFill="1" applyBorder="1" applyAlignment="1" applyProtection="1">
      <alignment horizontal="center" vertical="center" wrapText="1"/>
    </xf>
    <xf numFmtId="0" fontId="5" fillId="0" borderId="2" xfId="1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22" applyFont="1" applyFill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0" fontId="7" fillId="0" borderId="2" xfId="17" applyFont="1" applyFill="1" applyBorder="1" applyAlignment="1">
      <alignment horizontal="center" vertical="center"/>
    </xf>
    <xf numFmtId="0" fontId="7" fillId="0" borderId="2" xfId="22" applyFont="1" applyFill="1" applyBorder="1" applyAlignment="1">
      <alignment horizontal="left" vertical="center" textRotation="90" wrapText="1"/>
    </xf>
    <xf numFmtId="0" fontId="7" fillId="0" borderId="2" xfId="22" applyFont="1" applyFill="1" applyBorder="1" applyAlignment="1">
      <alignment horizontal="center" vertical="center" textRotation="90" wrapText="1"/>
    </xf>
    <xf numFmtId="0" fontId="7" fillId="0" borderId="2" xfId="22" applyFont="1" applyFill="1" applyBorder="1" applyAlignment="1">
      <alignment vertical="center" wrapText="1"/>
    </xf>
    <xf numFmtId="0" fontId="20" fillId="0" borderId="2" xfId="22" applyFont="1" applyFill="1" applyBorder="1" applyAlignment="1">
      <alignment horizontal="center" vertical="center" textRotation="90"/>
    </xf>
    <xf numFmtId="0" fontId="20" fillId="0" borderId="2" xfId="22" applyFont="1" applyFill="1" applyBorder="1" applyAlignment="1">
      <alignment horizontal="center" vertical="center" textRotation="90" wrapText="1"/>
    </xf>
    <xf numFmtId="0" fontId="7" fillId="0" borderId="2" xfId="22" applyFont="1" applyFill="1" applyBorder="1" applyAlignment="1">
      <alignment horizontal="center" vertical="center" wrapText="1"/>
    </xf>
    <xf numFmtId="0" fontId="6" fillId="0" borderId="2" xfId="22" applyFont="1" applyFill="1" applyBorder="1" applyAlignment="1">
      <alignment horizontal="center" vertical="center" wrapText="1"/>
    </xf>
    <xf numFmtId="0" fontId="3" fillId="0" borderId="0" xfId="22" applyFont="1" applyFill="1" applyAlignment="1">
      <alignment horizontal="right" vertical="center"/>
    </xf>
    <xf numFmtId="0" fontId="3" fillId="0" borderId="38" xfId="22" applyFont="1" applyFill="1" applyBorder="1" applyAlignment="1">
      <alignment horizontal="right" vertical="center"/>
    </xf>
    <xf numFmtId="0" fontId="7" fillId="0" borderId="2" xfId="22" applyFont="1" applyFill="1" applyBorder="1" applyAlignment="1">
      <alignment horizontal="center" vertical="center" textRotation="90"/>
    </xf>
    <xf numFmtId="0" fontId="7" fillId="0" borderId="0" xfId="0" applyFont="1" applyFill="1" applyAlignment="1">
      <alignment horizontal="left" vertical="top" wrapText="1"/>
    </xf>
    <xf numFmtId="0" fontId="5" fillId="0" borderId="0" xfId="22" applyFont="1" applyFill="1" applyAlignment="1">
      <alignment horizontal="right" vertical="center"/>
    </xf>
    <xf numFmtId="0" fontId="5" fillId="0" borderId="38" xfId="22" applyFont="1" applyFill="1" applyBorder="1" applyAlignment="1">
      <alignment horizontal="right" vertical="center"/>
    </xf>
    <xf numFmtId="0" fontId="7" fillId="0" borderId="2" xfId="22" applyFont="1" applyFill="1" applyBorder="1" applyAlignment="1">
      <alignment horizontal="left" vertical="center" wrapText="1"/>
    </xf>
    <xf numFmtId="0" fontId="7" fillId="0" borderId="0" xfId="22" applyNumberFormat="1" applyFont="1" applyFill="1" applyBorder="1" applyAlignment="1" applyProtection="1">
      <alignment vertical="top" wrapText="1"/>
    </xf>
    <xf numFmtId="0" fontId="3" fillId="0" borderId="0" xfId="22" applyFont="1" applyFill="1" applyBorder="1" applyAlignment="1">
      <alignment horizontal="right" vertical="center"/>
    </xf>
    <xf numFmtId="0" fontId="4" fillId="0" borderId="29" xfId="13" applyFont="1" applyFill="1" applyBorder="1" applyAlignment="1">
      <alignment horizontal="left" vertical="center" wrapText="1"/>
    </xf>
    <xf numFmtId="0" fontId="4" fillId="0" borderId="8" xfId="13" applyFont="1" applyFill="1" applyBorder="1" applyAlignment="1">
      <alignment horizontal="left" vertical="center" wrapText="1"/>
    </xf>
    <xf numFmtId="0" fontId="7" fillId="0" borderId="40" xfId="22" applyFont="1" applyFill="1" applyBorder="1" applyAlignment="1">
      <alignment horizontal="center" vertical="center" wrapText="1"/>
    </xf>
    <xf numFmtId="0" fontId="7" fillId="0" borderId="33" xfId="22" applyFont="1" applyFill="1" applyBorder="1" applyAlignment="1">
      <alignment horizontal="center" vertical="center" wrapText="1"/>
    </xf>
    <xf numFmtId="0" fontId="7" fillId="0" borderId="11" xfId="22" applyFont="1" applyFill="1" applyBorder="1" applyAlignment="1">
      <alignment horizontal="center" vertical="center" wrapText="1"/>
    </xf>
    <xf numFmtId="0" fontId="7" fillId="0" borderId="34" xfId="22" applyFont="1" applyFill="1" applyBorder="1" applyAlignment="1">
      <alignment horizontal="center" vertical="center" wrapText="1"/>
    </xf>
    <xf numFmtId="0" fontId="4" fillId="0" borderId="14" xfId="22" applyFont="1" applyFill="1" applyBorder="1" applyAlignment="1">
      <alignment horizontal="center" vertical="center" wrapText="1"/>
    </xf>
    <xf numFmtId="0" fontId="4" fillId="0" borderId="37" xfId="22" applyFont="1" applyFill="1" applyBorder="1" applyAlignment="1">
      <alignment horizontal="center" vertical="center" wrapText="1"/>
    </xf>
    <xf numFmtId="0" fontId="7" fillId="0" borderId="5" xfId="17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22" applyFont="1" applyFill="1" applyBorder="1" applyAlignment="1">
      <alignment horizontal="right" vertical="center"/>
    </xf>
    <xf numFmtId="0" fontId="7" fillId="0" borderId="14" xfId="22" applyFont="1" applyFill="1" applyBorder="1" applyAlignment="1">
      <alignment horizontal="center" vertical="center" wrapText="1"/>
    </xf>
    <xf numFmtId="0" fontId="7" fillId="0" borderId="37" xfId="22" applyFont="1" applyFill="1" applyBorder="1" applyAlignment="1">
      <alignment horizontal="center" vertical="center" wrapText="1"/>
    </xf>
    <xf numFmtId="2" fontId="5" fillId="0" borderId="0" xfId="22" applyNumberFormat="1" applyFont="1" applyFill="1" applyAlignment="1">
      <alignment horizontal="right" vertical="center"/>
    </xf>
    <xf numFmtId="2" fontId="5" fillId="0" borderId="38" xfId="22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6" fillId="0" borderId="14" xfId="17" applyFont="1" applyFill="1" applyBorder="1" applyAlignment="1">
      <alignment horizontal="center" vertical="center"/>
    </xf>
    <xf numFmtId="0" fontId="16" fillId="0" borderId="5" xfId="17" applyFont="1" applyFill="1" applyBorder="1" applyAlignment="1">
      <alignment horizontal="center" vertical="center"/>
    </xf>
    <xf numFmtId="0" fontId="7" fillId="0" borderId="2" xfId="17" applyFont="1" applyFill="1" applyBorder="1" applyAlignment="1">
      <alignment horizontal="left" vertical="center" textRotation="90" wrapText="1"/>
    </xf>
    <xf numFmtId="0" fontId="7" fillId="0" borderId="2" xfId="17" applyFont="1" applyFill="1" applyBorder="1" applyAlignment="1">
      <alignment horizontal="center" vertical="center" textRotation="90" wrapText="1"/>
    </xf>
    <xf numFmtId="0" fontId="7" fillId="0" borderId="2" xfId="17" applyFont="1" applyFill="1" applyBorder="1" applyAlignment="1">
      <alignment horizontal="center" vertical="center" textRotation="90"/>
    </xf>
    <xf numFmtId="0" fontId="7" fillId="0" borderId="2" xfId="17" applyFont="1" applyFill="1" applyBorder="1" applyAlignment="1">
      <alignment horizontal="center" vertical="center" wrapText="1"/>
    </xf>
    <xf numFmtId="0" fontId="4" fillId="0" borderId="33" xfId="14" applyFont="1" applyFill="1" applyBorder="1" applyAlignment="1">
      <alignment horizontal="left" vertical="center" wrapText="1"/>
    </xf>
    <xf numFmtId="0" fontId="4" fillId="0" borderId="0" xfId="14" applyFont="1" applyFill="1" applyBorder="1" applyAlignment="1">
      <alignment horizontal="left" vertical="center" wrapText="1"/>
    </xf>
    <xf numFmtId="0" fontId="4" fillId="0" borderId="34" xfId="14" applyFont="1" applyFill="1" applyBorder="1" applyAlignment="1">
      <alignment horizontal="left" vertical="center" wrapText="1"/>
    </xf>
    <xf numFmtId="0" fontId="7" fillId="0" borderId="36" xfId="11" applyFont="1" applyFill="1" applyBorder="1" applyAlignment="1">
      <alignment horizontal="left" vertical="center" wrapText="1"/>
    </xf>
    <xf numFmtId="0" fontId="7" fillId="0" borderId="35" xfId="11" applyFont="1" applyFill="1" applyBorder="1" applyAlignment="1">
      <alignment horizontal="left" vertical="center" wrapText="1"/>
    </xf>
    <xf numFmtId="0" fontId="7" fillId="0" borderId="41" xfId="11" applyFont="1" applyFill="1" applyBorder="1" applyAlignment="1">
      <alignment horizontal="left" vertical="center" wrapText="1"/>
    </xf>
    <xf numFmtId="0" fontId="7" fillId="0" borderId="36" xfId="17" applyFont="1" applyFill="1" applyBorder="1" applyAlignment="1">
      <alignment horizontal="left" vertical="center" wrapText="1"/>
    </xf>
    <xf numFmtId="0" fontId="7" fillId="0" borderId="35" xfId="17" applyFont="1" applyFill="1" applyBorder="1" applyAlignment="1">
      <alignment horizontal="left" vertical="center" wrapText="1"/>
    </xf>
    <xf numFmtId="0" fontId="7" fillId="0" borderId="2" xfId="17" applyFont="1" applyFill="1" applyBorder="1" applyAlignment="1">
      <alignment horizontal="left" vertical="center" wrapText="1"/>
    </xf>
    <xf numFmtId="0" fontId="5" fillId="0" borderId="0" xfId="17" applyFont="1" applyFill="1" applyAlignment="1">
      <alignment horizontal="right" vertical="center"/>
    </xf>
    <xf numFmtId="0" fontId="5" fillId="0" borderId="38" xfId="17" applyFont="1" applyFill="1" applyBorder="1" applyAlignment="1">
      <alignment horizontal="right" vertical="center"/>
    </xf>
    <xf numFmtId="168" fontId="4" fillId="0" borderId="39" xfId="14" applyNumberFormat="1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justify"/>
    </xf>
    <xf numFmtId="0" fontId="6" fillId="0" borderId="2" xfId="9" applyFont="1" applyFill="1" applyBorder="1" applyAlignment="1">
      <alignment horizontal="center" vertical="justify"/>
    </xf>
    <xf numFmtId="0" fontId="40" fillId="0" borderId="2" xfId="0" applyFont="1" applyFill="1" applyBorder="1" applyAlignment="1">
      <alignment horizontal="left" vertical="center" wrapText="1"/>
    </xf>
    <xf numFmtId="0" fontId="40" fillId="0" borderId="2" xfId="11" applyFont="1" applyFill="1" applyBorder="1" applyAlignment="1">
      <alignment horizontal="center" vertical="center" wrapText="1"/>
    </xf>
    <xf numFmtId="0" fontId="40" fillId="0" borderId="29" xfId="11" applyFont="1" applyFill="1" applyBorder="1" applyAlignment="1">
      <alignment horizontal="left" vertical="center" wrapText="1"/>
    </xf>
    <xf numFmtId="0" fontId="40" fillId="0" borderId="8" xfId="11" applyFont="1" applyFill="1" applyBorder="1" applyAlignment="1">
      <alignment horizontal="left" vertical="center" wrapText="1"/>
    </xf>
    <xf numFmtId="0" fontId="40" fillId="0" borderId="2" xfId="17" applyFont="1" applyFill="1" applyBorder="1" applyAlignment="1">
      <alignment horizontal="center" vertical="center" wrapText="1"/>
    </xf>
    <xf numFmtId="0" fontId="40" fillId="0" borderId="2" xfId="17" applyFont="1" applyFill="1" applyBorder="1" applyAlignment="1">
      <alignment horizontal="left" vertical="center" wrapText="1"/>
    </xf>
  </cellXfs>
  <cellStyles count="28">
    <cellStyle name="Comma 2" xfId="2" xr:uid="{00000000-0005-0000-0000-000001000000}"/>
    <cellStyle name="Excel Built-in Normal" xfId="3" xr:uid="{00000000-0005-0000-0000-000002000000}"/>
    <cellStyle name="Good 2 2" xfId="6" xr:uid="{00000000-0005-0000-0000-000005000000}"/>
    <cellStyle name="Komats" xfId="1" builtinId="3"/>
    <cellStyle name="Labs" xfId="5" builtinId="26"/>
    <cellStyle name="Normal 12" xfId="7" xr:uid="{00000000-0005-0000-0000-000008000000}"/>
    <cellStyle name="Normal 2" xfId="8" xr:uid="{00000000-0005-0000-0000-000009000000}"/>
    <cellStyle name="Normal 2 2" xfId="9" xr:uid="{00000000-0005-0000-0000-00000A000000}"/>
    <cellStyle name="Normal 2_Tame AVK Uliha 56 07.05.2010." xfId="10" xr:uid="{00000000-0005-0000-0000-00000B000000}"/>
    <cellStyle name="Normal 3" xfId="11" xr:uid="{00000000-0005-0000-0000-00000C000000}"/>
    <cellStyle name="Normal 5" xfId="12" xr:uid="{00000000-0005-0000-0000-00000D000000}"/>
    <cellStyle name="Normal_DA" xfId="13" xr:uid="{00000000-0005-0000-0000-00000E000000}"/>
    <cellStyle name="Normal_Liepaja Peldu 5 UK tames" xfId="14" xr:uid="{00000000-0005-0000-0000-00000F000000}"/>
    <cellStyle name="Normal_Rucava rotalu laukums - tabulas" xfId="15" xr:uid="{00000000-0005-0000-0000-000010000000}"/>
    <cellStyle name="Normal_Sheet1 2" xfId="16" xr:uid="{00000000-0005-0000-0000-000011000000}"/>
    <cellStyle name="Normal_Siguldas 27 - tabulas" xfId="17" xr:uid="{00000000-0005-0000-0000-000012000000}"/>
    <cellStyle name="Normal_Tame AVK Uliha 56 07.05.2010." xfId="18" xr:uid="{00000000-0005-0000-0000-000013000000}"/>
    <cellStyle name="Parasts" xfId="0" builtinId="0"/>
    <cellStyle name="Parasts 3" xfId="19" xr:uid="{00000000-0005-0000-0000-000014000000}"/>
    <cellStyle name="Parasts 3 2" xfId="20" xr:uid="{00000000-0005-0000-0000-000015000000}"/>
    <cellStyle name="Parasts 4" xfId="27" xr:uid="{C46E5507-7467-4011-A6BE-31C99CE5170E}"/>
    <cellStyle name="Paskaidrojošs teksts" xfId="4" builtinId="53"/>
    <cellStyle name="Procenti" xfId="21" builtinId="5"/>
    <cellStyle name="Style 1" xfId="22" xr:uid="{00000000-0005-0000-0000-000017000000}"/>
    <cellStyle name="Style 1 2" xfId="23" xr:uid="{00000000-0005-0000-0000-000018000000}"/>
    <cellStyle name="Стиль 1" xfId="24" xr:uid="{00000000-0005-0000-0000-000019000000}"/>
    <cellStyle name="Стиль 1 2" xfId="25" xr:uid="{00000000-0005-0000-0000-00001A000000}"/>
    <cellStyle name="Стиль 1 3" xfId="26" xr:uid="{00000000-0005-0000-0000-00001B000000}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I135"/>
  <sheetViews>
    <sheetView topLeftCell="D1" zoomScale="85" zoomScaleNormal="85" zoomScaleSheetLayoutView="120" workbookViewId="0">
      <pane ySplit="1080" activePane="bottomLeft"/>
      <selection activeCell="H37" sqref="H37"/>
      <selection pane="bottomLeft" activeCell="U4" sqref="U4"/>
    </sheetView>
  </sheetViews>
  <sheetFormatPr defaultColWidth="9" defaultRowHeight="15" outlineLevelRow="1" x14ac:dyDescent="0.25"/>
  <cols>
    <col min="1" max="1" width="11.140625" style="765" customWidth="1"/>
    <col min="2" max="2" width="42.7109375" style="795" customWidth="1"/>
    <col min="3" max="3" width="8" style="140" bestFit="1" customWidth="1"/>
    <col min="4" max="4" width="7" style="140" customWidth="1"/>
    <col min="5" max="5" width="6.7109375" style="140" bestFit="1" customWidth="1"/>
    <col min="6" max="7" width="5" style="140" customWidth="1"/>
    <col min="8" max="8" width="3.85546875" style="140" bestFit="1" customWidth="1"/>
    <col min="9" max="9" width="6.28515625" style="140" customWidth="1"/>
    <col min="10" max="10" width="8" style="140" bestFit="1" customWidth="1"/>
    <col min="11" max="11" width="7.42578125" style="140" bestFit="1" customWidth="1"/>
    <col min="12" max="12" width="9.42578125" style="140" bestFit="1" customWidth="1"/>
    <col min="13" max="13" width="8.28515625" style="140" customWidth="1"/>
    <col min="14" max="14" width="12.5703125" style="140" customWidth="1"/>
    <col min="15" max="16" width="5.85546875" style="140" bestFit="1" customWidth="1"/>
    <col min="17" max="17" width="8.42578125" style="140" customWidth="1"/>
    <col min="18" max="19" width="10.28515625" style="140" customWidth="1"/>
    <col min="20" max="20" width="11.140625" style="140" customWidth="1"/>
    <col min="21" max="21" width="10.28515625" style="140" customWidth="1"/>
    <col min="22" max="22" width="22.28515625" style="140" bestFit="1" customWidth="1"/>
    <col min="23" max="243" width="9" style="140"/>
    <col min="244" max="16384" width="9" style="768"/>
  </cols>
  <sheetData>
    <row r="1" spans="1:243" x14ac:dyDescent="0.25">
      <c r="B1" s="766"/>
      <c r="C1" s="767"/>
      <c r="D1" s="767"/>
      <c r="E1" s="767"/>
      <c r="F1" s="767"/>
      <c r="G1" s="767"/>
      <c r="H1" s="767"/>
      <c r="I1" s="767"/>
      <c r="J1" s="767"/>
      <c r="K1" s="815" t="s">
        <v>160</v>
      </c>
      <c r="L1" s="815"/>
      <c r="M1" s="815" t="s">
        <v>161</v>
      </c>
      <c r="N1" s="815"/>
      <c r="O1" s="815" t="s">
        <v>162</v>
      </c>
      <c r="P1" s="815"/>
      <c r="Q1" s="816" t="s">
        <v>163</v>
      </c>
      <c r="R1" s="816"/>
      <c r="S1" s="816"/>
      <c r="T1" s="816"/>
      <c r="U1" s="816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768"/>
    </row>
    <row r="2" spans="1:243" x14ac:dyDescent="0.25">
      <c r="B2" s="821" t="s">
        <v>117</v>
      </c>
      <c r="C2" s="822" t="s">
        <v>118</v>
      </c>
      <c r="D2" s="822"/>
      <c r="E2" s="822"/>
      <c r="F2" s="822" t="s">
        <v>119</v>
      </c>
      <c r="G2" s="822"/>
      <c r="H2" s="822" t="s">
        <v>120</v>
      </c>
      <c r="I2" s="822"/>
      <c r="J2" s="822"/>
      <c r="K2" s="742"/>
      <c r="L2" s="742"/>
      <c r="M2" s="742" t="s">
        <v>122</v>
      </c>
      <c r="N2" s="742" t="s">
        <v>121</v>
      </c>
      <c r="O2" s="742" t="s">
        <v>121</v>
      </c>
      <c r="P2" s="742" t="s">
        <v>122</v>
      </c>
      <c r="Q2" s="817" t="s">
        <v>870</v>
      </c>
      <c r="R2" s="817" t="s">
        <v>871</v>
      </c>
      <c r="S2" s="817" t="s">
        <v>872</v>
      </c>
      <c r="T2" s="817" t="s">
        <v>873</v>
      </c>
      <c r="U2" s="818" t="s">
        <v>874</v>
      </c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768"/>
    </row>
    <row r="3" spans="1:243" ht="22.5" x14ac:dyDescent="0.25">
      <c r="A3" s="141" t="s">
        <v>575</v>
      </c>
      <c r="B3" s="821"/>
      <c r="C3" s="743" t="s">
        <v>164</v>
      </c>
      <c r="D3" s="743" t="s">
        <v>165</v>
      </c>
      <c r="E3" s="742" t="s">
        <v>60</v>
      </c>
      <c r="F3" s="742" t="s">
        <v>180</v>
      </c>
      <c r="G3" s="742" t="s">
        <v>5</v>
      </c>
      <c r="H3" s="742" t="s">
        <v>181</v>
      </c>
      <c r="I3" s="743" t="s">
        <v>164</v>
      </c>
      <c r="J3" s="633" t="s">
        <v>165</v>
      </c>
      <c r="K3" s="742" t="s">
        <v>123</v>
      </c>
      <c r="L3" s="742" t="s">
        <v>124</v>
      </c>
      <c r="M3" s="742">
        <v>0.15</v>
      </c>
      <c r="N3" s="742">
        <v>0.1</v>
      </c>
      <c r="O3" s="742"/>
      <c r="P3" s="742"/>
      <c r="Q3" s="817"/>
      <c r="R3" s="817"/>
      <c r="S3" s="817"/>
      <c r="T3" s="817"/>
      <c r="U3" s="818"/>
      <c r="II3" s="768"/>
    </row>
    <row r="4" spans="1:243" outlineLevel="1" x14ac:dyDescent="0.25">
      <c r="B4" s="769" t="s">
        <v>452</v>
      </c>
      <c r="C4" s="743"/>
      <c r="D4" s="743"/>
      <c r="E4" s="742"/>
      <c r="F4" s="742"/>
      <c r="G4" s="742"/>
      <c r="H4" s="742"/>
      <c r="I4" s="743"/>
      <c r="J4" s="633"/>
      <c r="K4" s="742"/>
      <c r="L4" s="742"/>
      <c r="M4" s="742"/>
      <c r="N4" s="742"/>
      <c r="O4" s="462">
        <f>F4*D4</f>
        <v>0</v>
      </c>
      <c r="P4" s="462">
        <f t="shared" ref="P4:P13" si="0">E4*F4*1.05</f>
        <v>0</v>
      </c>
      <c r="Q4" s="743"/>
      <c r="R4" s="743"/>
      <c r="S4" s="743"/>
      <c r="T4" s="743"/>
      <c r="U4" s="770"/>
      <c r="II4" s="768"/>
    </row>
    <row r="5" spans="1:243" outlineLevel="1" x14ac:dyDescent="0.25">
      <c r="B5" s="771" t="s">
        <v>184</v>
      </c>
      <c r="C5" s="742">
        <f t="shared" ref="C5:C15" si="1">E5-D5</f>
        <v>81</v>
      </c>
      <c r="D5" s="742"/>
      <c r="E5" s="742">
        <v>81</v>
      </c>
      <c r="F5" s="742">
        <v>1.2</v>
      </c>
      <c r="G5" s="742">
        <v>1.5</v>
      </c>
      <c r="H5" s="462">
        <f t="shared" ref="H5:H28" si="2">F5*G5</f>
        <v>1.7999999999999998</v>
      </c>
      <c r="I5" s="462">
        <f t="shared" ref="I5:I28" si="3">H5*C5</f>
        <v>145.79999999999998</v>
      </c>
      <c r="J5" s="578">
        <f>H5*D5</f>
        <v>0</v>
      </c>
      <c r="K5" s="462">
        <f>(F5*2+G5*2)*E5</f>
        <v>437.40000000000003</v>
      </c>
      <c r="L5" s="462">
        <f>(F5*2+G5*2)*D5</f>
        <v>0</v>
      </c>
      <c r="M5" s="462">
        <f>K5*$M$3</f>
        <v>65.61</v>
      </c>
      <c r="N5" s="462">
        <f>L5*$N$3</f>
        <v>0</v>
      </c>
      <c r="O5" s="462">
        <f>F5*D5</f>
        <v>0</v>
      </c>
      <c r="P5" s="462">
        <f t="shared" si="0"/>
        <v>102.06</v>
      </c>
      <c r="Q5" s="462">
        <f t="shared" ref="Q5:Q28" si="4">E5*(F5+2*G5)</f>
        <v>340.2</v>
      </c>
      <c r="R5" s="462">
        <f t="shared" ref="R5:R30" si="5">Q5</f>
        <v>340.2</v>
      </c>
      <c r="S5" s="462">
        <f t="shared" ref="S5:S28" si="6">E5*F5</f>
        <v>97.2</v>
      </c>
      <c r="T5" s="462">
        <f>E5*F5</f>
        <v>97.2</v>
      </c>
      <c r="U5" s="770"/>
      <c r="II5" s="768"/>
    </row>
    <row r="6" spans="1:243" outlineLevel="1" x14ac:dyDescent="0.25">
      <c r="B6" s="771" t="s">
        <v>0</v>
      </c>
      <c r="C6" s="742">
        <f t="shared" si="1"/>
        <v>0</v>
      </c>
      <c r="D6" s="742">
        <v>27</v>
      </c>
      <c r="E6" s="742">
        <f>D6</f>
        <v>27</v>
      </c>
      <c r="F6" s="742">
        <v>1.2</v>
      </c>
      <c r="G6" s="742">
        <v>1.5</v>
      </c>
      <c r="H6" s="462">
        <f t="shared" si="2"/>
        <v>1.7999999999999998</v>
      </c>
      <c r="I6" s="462">
        <f t="shared" si="3"/>
        <v>0</v>
      </c>
      <c r="J6" s="578">
        <f t="shared" ref="J6:J35" si="7">H6*D6</f>
        <v>48.599999999999994</v>
      </c>
      <c r="K6" s="462">
        <f t="shared" ref="K6:K28" si="8">(F6*2+G6*2)*E6</f>
        <v>145.80000000000001</v>
      </c>
      <c r="L6" s="462">
        <f t="shared" ref="L6:L28" si="9">(F6*2+G6*2)*D6</f>
        <v>145.80000000000001</v>
      </c>
      <c r="M6" s="462">
        <f t="shared" ref="M6:M21" si="10">K6*$M$3</f>
        <v>21.87</v>
      </c>
      <c r="N6" s="462">
        <f t="shared" ref="N6:N21" si="11">L6*$N$3</f>
        <v>14.580000000000002</v>
      </c>
      <c r="O6" s="462">
        <f t="shared" ref="O6:O13" si="12">F6*D6</f>
        <v>32.4</v>
      </c>
      <c r="P6" s="462">
        <f t="shared" si="0"/>
        <v>34.020000000000003</v>
      </c>
      <c r="Q6" s="462">
        <f t="shared" si="4"/>
        <v>113.4</v>
      </c>
      <c r="R6" s="462">
        <f t="shared" si="5"/>
        <v>113.4</v>
      </c>
      <c r="S6" s="462">
        <f t="shared" si="6"/>
        <v>32.4</v>
      </c>
      <c r="T6" s="462">
        <f t="shared" ref="T6:T21" si="13">E6*F6</f>
        <v>32.4</v>
      </c>
      <c r="U6" s="770"/>
      <c r="II6" s="768"/>
    </row>
    <row r="7" spans="1:243" outlineLevel="1" x14ac:dyDescent="0.25">
      <c r="B7" s="771" t="s">
        <v>1</v>
      </c>
      <c r="C7" s="742">
        <f t="shared" si="1"/>
        <v>37</v>
      </c>
      <c r="D7" s="742"/>
      <c r="E7" s="742">
        <v>37</v>
      </c>
      <c r="F7" s="742">
        <v>1</v>
      </c>
      <c r="G7" s="742">
        <v>1.5</v>
      </c>
      <c r="H7" s="462">
        <f t="shared" si="2"/>
        <v>1.5</v>
      </c>
      <c r="I7" s="462">
        <f t="shared" si="3"/>
        <v>55.5</v>
      </c>
      <c r="J7" s="578">
        <f t="shared" si="7"/>
        <v>0</v>
      </c>
      <c r="K7" s="462">
        <f t="shared" si="8"/>
        <v>185</v>
      </c>
      <c r="L7" s="462">
        <f t="shared" si="9"/>
        <v>0</v>
      </c>
      <c r="M7" s="462">
        <f t="shared" si="10"/>
        <v>27.75</v>
      </c>
      <c r="N7" s="462">
        <f t="shared" si="11"/>
        <v>0</v>
      </c>
      <c r="O7" s="462">
        <f t="shared" si="12"/>
        <v>0</v>
      </c>
      <c r="P7" s="462">
        <f t="shared" si="0"/>
        <v>38.85</v>
      </c>
      <c r="Q7" s="462">
        <f t="shared" si="4"/>
        <v>148</v>
      </c>
      <c r="R7" s="462">
        <f t="shared" si="5"/>
        <v>148</v>
      </c>
      <c r="S7" s="462">
        <f t="shared" si="6"/>
        <v>37</v>
      </c>
      <c r="T7" s="462">
        <f t="shared" si="13"/>
        <v>37</v>
      </c>
      <c r="U7" s="770"/>
      <c r="II7" s="768"/>
    </row>
    <row r="8" spans="1:243" outlineLevel="1" x14ac:dyDescent="0.25">
      <c r="B8" s="771" t="s">
        <v>182</v>
      </c>
      <c r="C8" s="742">
        <f t="shared" si="1"/>
        <v>0</v>
      </c>
      <c r="D8" s="742">
        <v>17</v>
      </c>
      <c r="E8" s="742">
        <f>D8</f>
        <v>17</v>
      </c>
      <c r="F8" s="742">
        <v>1</v>
      </c>
      <c r="G8" s="742">
        <v>1.5</v>
      </c>
      <c r="H8" s="462">
        <f t="shared" si="2"/>
        <v>1.5</v>
      </c>
      <c r="I8" s="462">
        <f t="shared" si="3"/>
        <v>0</v>
      </c>
      <c r="J8" s="578">
        <f t="shared" si="7"/>
        <v>25.5</v>
      </c>
      <c r="K8" s="462">
        <f t="shared" si="8"/>
        <v>85</v>
      </c>
      <c r="L8" s="462">
        <f t="shared" si="9"/>
        <v>85</v>
      </c>
      <c r="M8" s="462">
        <f t="shared" si="10"/>
        <v>12.75</v>
      </c>
      <c r="N8" s="462">
        <f t="shared" si="11"/>
        <v>8.5</v>
      </c>
      <c r="O8" s="462">
        <f t="shared" si="12"/>
        <v>17</v>
      </c>
      <c r="P8" s="462">
        <f t="shared" si="0"/>
        <v>17.850000000000001</v>
      </c>
      <c r="Q8" s="462">
        <f t="shared" si="4"/>
        <v>68</v>
      </c>
      <c r="R8" s="462">
        <f t="shared" si="5"/>
        <v>68</v>
      </c>
      <c r="S8" s="462">
        <f t="shared" si="6"/>
        <v>17</v>
      </c>
      <c r="T8" s="462">
        <f t="shared" si="13"/>
        <v>17</v>
      </c>
      <c r="U8" s="770"/>
      <c r="II8" s="768"/>
    </row>
    <row r="9" spans="1:243" outlineLevel="1" x14ac:dyDescent="0.25">
      <c r="B9" s="771" t="s">
        <v>183</v>
      </c>
      <c r="C9" s="742">
        <f t="shared" si="1"/>
        <v>11</v>
      </c>
      <c r="D9" s="742"/>
      <c r="E9" s="742">
        <v>11</v>
      </c>
      <c r="F9" s="742">
        <v>1.7</v>
      </c>
      <c r="G9" s="742">
        <v>1.5</v>
      </c>
      <c r="H9" s="462">
        <f t="shared" si="2"/>
        <v>2.5499999999999998</v>
      </c>
      <c r="I9" s="462">
        <f t="shared" si="3"/>
        <v>28.049999999999997</v>
      </c>
      <c r="J9" s="578">
        <f t="shared" si="7"/>
        <v>0</v>
      </c>
      <c r="K9" s="462">
        <f t="shared" si="8"/>
        <v>70.400000000000006</v>
      </c>
      <c r="L9" s="462">
        <f t="shared" si="9"/>
        <v>0</v>
      </c>
      <c r="M9" s="462">
        <f t="shared" si="10"/>
        <v>10.56</v>
      </c>
      <c r="N9" s="462">
        <f t="shared" si="11"/>
        <v>0</v>
      </c>
      <c r="O9" s="462">
        <f t="shared" si="12"/>
        <v>0</v>
      </c>
      <c r="P9" s="462">
        <f t="shared" si="0"/>
        <v>19.635000000000002</v>
      </c>
      <c r="Q9" s="462">
        <f t="shared" si="4"/>
        <v>51.7</v>
      </c>
      <c r="R9" s="462">
        <f t="shared" si="5"/>
        <v>51.7</v>
      </c>
      <c r="S9" s="462">
        <f t="shared" si="6"/>
        <v>18.7</v>
      </c>
      <c r="T9" s="462">
        <f t="shared" si="13"/>
        <v>18.7</v>
      </c>
      <c r="U9" s="770"/>
      <c r="II9" s="768"/>
    </row>
    <row r="10" spans="1:243" outlineLevel="1" x14ac:dyDescent="0.25">
      <c r="B10" s="771" t="s">
        <v>63</v>
      </c>
      <c r="C10" s="742">
        <f t="shared" si="1"/>
        <v>0</v>
      </c>
      <c r="D10" s="742">
        <v>3</v>
      </c>
      <c r="E10" s="742">
        <f>D10</f>
        <v>3</v>
      </c>
      <c r="F10" s="742">
        <v>1.7</v>
      </c>
      <c r="G10" s="742">
        <v>1.5</v>
      </c>
      <c r="H10" s="462">
        <f t="shared" si="2"/>
        <v>2.5499999999999998</v>
      </c>
      <c r="I10" s="462">
        <f t="shared" si="3"/>
        <v>0</v>
      </c>
      <c r="J10" s="578">
        <f t="shared" si="7"/>
        <v>7.6499999999999995</v>
      </c>
      <c r="K10" s="462">
        <f t="shared" si="8"/>
        <v>19.200000000000003</v>
      </c>
      <c r="L10" s="462">
        <f t="shared" si="9"/>
        <v>19.200000000000003</v>
      </c>
      <c r="M10" s="462">
        <f t="shared" si="10"/>
        <v>2.8800000000000003</v>
      </c>
      <c r="N10" s="462">
        <f t="shared" si="11"/>
        <v>1.9200000000000004</v>
      </c>
      <c r="O10" s="462">
        <f t="shared" si="12"/>
        <v>5.0999999999999996</v>
      </c>
      <c r="P10" s="462">
        <f t="shared" si="0"/>
        <v>5.3549999999999995</v>
      </c>
      <c r="Q10" s="462">
        <f t="shared" si="4"/>
        <v>14.100000000000001</v>
      </c>
      <c r="R10" s="462">
        <f t="shared" si="5"/>
        <v>14.100000000000001</v>
      </c>
      <c r="S10" s="462">
        <f t="shared" si="6"/>
        <v>5.0999999999999996</v>
      </c>
      <c r="T10" s="462">
        <f t="shared" si="13"/>
        <v>5.0999999999999996</v>
      </c>
      <c r="U10" s="770"/>
      <c r="II10" s="768"/>
    </row>
    <row r="11" spans="1:243" outlineLevel="1" x14ac:dyDescent="0.25">
      <c r="B11" s="771" t="s">
        <v>66</v>
      </c>
      <c r="C11" s="742">
        <f t="shared" si="1"/>
        <v>17</v>
      </c>
      <c r="D11" s="742"/>
      <c r="E11" s="742">
        <v>17</v>
      </c>
      <c r="F11" s="742">
        <v>1.8</v>
      </c>
      <c r="G11" s="742">
        <v>1.5</v>
      </c>
      <c r="H11" s="462">
        <f t="shared" si="2"/>
        <v>2.7</v>
      </c>
      <c r="I11" s="462">
        <f t="shared" si="3"/>
        <v>45.900000000000006</v>
      </c>
      <c r="J11" s="578">
        <f t="shared" si="7"/>
        <v>0</v>
      </c>
      <c r="K11" s="462">
        <f t="shared" si="8"/>
        <v>112.19999999999999</v>
      </c>
      <c r="L11" s="462">
        <f t="shared" si="9"/>
        <v>0</v>
      </c>
      <c r="M11" s="462">
        <f t="shared" si="10"/>
        <v>16.829999999999998</v>
      </c>
      <c r="N11" s="462">
        <f t="shared" si="11"/>
        <v>0</v>
      </c>
      <c r="O11" s="462">
        <f t="shared" si="12"/>
        <v>0</v>
      </c>
      <c r="P11" s="462">
        <f t="shared" si="0"/>
        <v>32.130000000000003</v>
      </c>
      <c r="Q11" s="462">
        <f t="shared" si="4"/>
        <v>81.599999999999994</v>
      </c>
      <c r="R11" s="462">
        <f t="shared" si="5"/>
        <v>81.599999999999994</v>
      </c>
      <c r="S11" s="462">
        <f t="shared" si="6"/>
        <v>30.6</v>
      </c>
      <c r="T11" s="462">
        <f t="shared" si="13"/>
        <v>30.6</v>
      </c>
      <c r="U11" s="770"/>
      <c r="II11" s="768"/>
    </row>
    <row r="12" spans="1:243" outlineLevel="1" x14ac:dyDescent="0.25">
      <c r="B12" s="771" t="s">
        <v>185</v>
      </c>
      <c r="C12" s="742">
        <f t="shared" si="1"/>
        <v>0</v>
      </c>
      <c r="D12" s="742">
        <v>10</v>
      </c>
      <c r="E12" s="742">
        <f>D12</f>
        <v>10</v>
      </c>
      <c r="F12" s="742">
        <v>1.8</v>
      </c>
      <c r="G12" s="742">
        <v>1.5</v>
      </c>
      <c r="H12" s="462">
        <f t="shared" si="2"/>
        <v>2.7</v>
      </c>
      <c r="I12" s="462">
        <f t="shared" si="3"/>
        <v>0</v>
      </c>
      <c r="J12" s="578">
        <f t="shared" si="7"/>
        <v>27</v>
      </c>
      <c r="K12" s="462">
        <f t="shared" si="8"/>
        <v>66</v>
      </c>
      <c r="L12" s="462">
        <f t="shared" si="9"/>
        <v>66</v>
      </c>
      <c r="M12" s="462">
        <f t="shared" si="10"/>
        <v>9.9</v>
      </c>
      <c r="N12" s="462">
        <f t="shared" si="11"/>
        <v>6.6000000000000005</v>
      </c>
      <c r="O12" s="462">
        <f t="shared" si="12"/>
        <v>18</v>
      </c>
      <c r="P12" s="462">
        <f t="shared" si="0"/>
        <v>18.900000000000002</v>
      </c>
      <c r="Q12" s="462">
        <f t="shared" si="4"/>
        <v>48</v>
      </c>
      <c r="R12" s="462">
        <f t="shared" si="5"/>
        <v>48</v>
      </c>
      <c r="S12" s="462">
        <f t="shared" si="6"/>
        <v>18</v>
      </c>
      <c r="T12" s="462">
        <f t="shared" si="13"/>
        <v>18</v>
      </c>
      <c r="U12" s="770"/>
      <c r="II12" s="768"/>
    </row>
    <row r="13" spans="1:243" outlineLevel="1" x14ac:dyDescent="0.25">
      <c r="B13" s="771" t="s">
        <v>186</v>
      </c>
      <c r="C13" s="742">
        <v>3</v>
      </c>
      <c r="D13" s="742"/>
      <c r="E13" s="742">
        <v>3</v>
      </c>
      <c r="F13" s="742">
        <v>2.5</v>
      </c>
      <c r="G13" s="742">
        <v>1.5</v>
      </c>
      <c r="H13" s="462">
        <f t="shared" si="2"/>
        <v>3.75</v>
      </c>
      <c r="I13" s="462">
        <f t="shared" si="3"/>
        <v>11.25</v>
      </c>
      <c r="J13" s="578">
        <f t="shared" si="7"/>
        <v>0</v>
      </c>
      <c r="K13" s="462">
        <f t="shared" si="8"/>
        <v>24</v>
      </c>
      <c r="L13" s="462">
        <f t="shared" si="9"/>
        <v>0</v>
      </c>
      <c r="M13" s="462">
        <f t="shared" si="10"/>
        <v>3.5999999999999996</v>
      </c>
      <c r="N13" s="462">
        <f t="shared" si="11"/>
        <v>0</v>
      </c>
      <c r="O13" s="462">
        <f t="shared" si="12"/>
        <v>0</v>
      </c>
      <c r="P13" s="462">
        <f t="shared" si="0"/>
        <v>7.875</v>
      </c>
      <c r="Q13" s="462">
        <f t="shared" si="4"/>
        <v>16.5</v>
      </c>
      <c r="R13" s="462">
        <f t="shared" si="5"/>
        <v>16.5</v>
      </c>
      <c r="S13" s="462">
        <f t="shared" si="6"/>
        <v>7.5</v>
      </c>
      <c r="T13" s="462">
        <f t="shared" si="13"/>
        <v>7.5</v>
      </c>
      <c r="U13" s="770"/>
      <c r="II13" s="768"/>
    </row>
    <row r="14" spans="1:243" outlineLevel="1" x14ac:dyDescent="0.25">
      <c r="B14" s="771"/>
      <c r="C14" s="742"/>
      <c r="D14" s="742"/>
      <c r="E14" s="742"/>
      <c r="F14" s="742"/>
      <c r="G14" s="742"/>
      <c r="H14" s="462">
        <f>F14*G14</f>
        <v>0</v>
      </c>
      <c r="I14" s="462">
        <f>H14*C14</f>
        <v>0</v>
      </c>
      <c r="J14" s="578">
        <f>H14*D14</f>
        <v>0</v>
      </c>
      <c r="K14" s="462">
        <f>(F14*2+G14*2)*E14</f>
        <v>0</v>
      </c>
      <c r="L14" s="462">
        <f>(F14*2+G14*2)*D14</f>
        <v>0</v>
      </c>
      <c r="M14" s="462">
        <f t="shared" si="10"/>
        <v>0</v>
      </c>
      <c r="N14" s="462">
        <f t="shared" si="11"/>
        <v>0</v>
      </c>
      <c r="O14" s="462">
        <f>F14*D14</f>
        <v>0</v>
      </c>
      <c r="P14" s="462">
        <f>E14*F14*1.05</f>
        <v>0</v>
      </c>
      <c r="Q14" s="462">
        <f>E14*(F14+2*G14)</f>
        <v>0</v>
      </c>
      <c r="R14" s="462">
        <f>Q14</f>
        <v>0</v>
      </c>
      <c r="S14" s="462">
        <f>E14*F14</f>
        <v>0</v>
      </c>
      <c r="T14" s="462">
        <f t="shared" si="13"/>
        <v>0</v>
      </c>
      <c r="U14" s="770"/>
      <c r="II14" s="768"/>
    </row>
    <row r="15" spans="1:243" outlineLevel="1" x14ac:dyDescent="0.25">
      <c r="B15" s="771" t="s">
        <v>523</v>
      </c>
      <c r="C15" s="742">
        <f t="shared" si="1"/>
        <v>24</v>
      </c>
      <c r="D15" s="742"/>
      <c r="E15" s="742">
        <v>24</v>
      </c>
      <c r="F15" s="742">
        <v>1.7</v>
      </c>
      <c r="G15" s="742">
        <v>0.56999999999999995</v>
      </c>
      <c r="H15" s="462">
        <f>F15*G15</f>
        <v>0.96899999999999986</v>
      </c>
      <c r="I15" s="462">
        <f>H15*C15</f>
        <v>23.255999999999997</v>
      </c>
      <c r="J15" s="578">
        <f>H15*D15</f>
        <v>0</v>
      </c>
      <c r="K15" s="462">
        <f>(F15*2+G15*2)*E15</f>
        <v>108.96000000000001</v>
      </c>
      <c r="L15" s="462">
        <f>(F15*2+G15*2)*D15</f>
        <v>0</v>
      </c>
      <c r="M15" s="462">
        <f t="shared" si="10"/>
        <v>16.344000000000001</v>
      </c>
      <c r="N15" s="462">
        <f t="shared" si="11"/>
        <v>0</v>
      </c>
      <c r="O15" s="462">
        <f>F15*D15</f>
        <v>0</v>
      </c>
      <c r="P15" s="462">
        <f>E15*F15*1.05</f>
        <v>42.839999999999996</v>
      </c>
      <c r="Q15" s="462">
        <f>E15*(F15+2*G15)</f>
        <v>68.16</v>
      </c>
      <c r="R15" s="462">
        <f>Q15</f>
        <v>68.16</v>
      </c>
      <c r="S15" s="462">
        <f>E15*F15</f>
        <v>40.799999999999997</v>
      </c>
      <c r="T15" s="462">
        <f t="shared" si="13"/>
        <v>40.799999999999997</v>
      </c>
      <c r="U15" s="770"/>
      <c r="II15" s="768"/>
    </row>
    <row r="16" spans="1:243" outlineLevel="1" x14ac:dyDescent="0.25">
      <c r="B16" s="771" t="s">
        <v>524</v>
      </c>
      <c r="C16" s="742">
        <v>3</v>
      </c>
      <c r="D16" s="742">
        <v>0</v>
      </c>
      <c r="E16" s="742">
        <f>D16</f>
        <v>0</v>
      </c>
      <c r="F16" s="742">
        <v>2.1</v>
      </c>
      <c r="G16" s="742">
        <v>0.8</v>
      </c>
      <c r="H16" s="462">
        <f>F16*G16</f>
        <v>1.6800000000000002</v>
      </c>
      <c r="I16" s="462">
        <f>H16*C16</f>
        <v>5.0400000000000009</v>
      </c>
      <c r="J16" s="578">
        <f>H16*D16</f>
        <v>0</v>
      </c>
      <c r="K16" s="462">
        <f>(F16*2+G16*2)*E16</f>
        <v>0</v>
      </c>
      <c r="L16" s="462">
        <f>(F16*2+G16*2)*D16</f>
        <v>0</v>
      </c>
      <c r="M16" s="462">
        <f t="shared" si="10"/>
        <v>0</v>
      </c>
      <c r="N16" s="462">
        <f t="shared" si="11"/>
        <v>0</v>
      </c>
      <c r="O16" s="462">
        <f>F16*D16</f>
        <v>0</v>
      </c>
      <c r="P16" s="462">
        <f>E16*F16*1.05</f>
        <v>0</v>
      </c>
      <c r="Q16" s="462">
        <f>E16*(F16+2*G16)</f>
        <v>0</v>
      </c>
      <c r="R16" s="462">
        <f>Q16</f>
        <v>0</v>
      </c>
      <c r="S16" s="462">
        <f>E16*F16</f>
        <v>0</v>
      </c>
      <c r="T16" s="462">
        <f t="shared" si="13"/>
        <v>0</v>
      </c>
      <c r="U16" s="770"/>
      <c r="II16" s="768"/>
    </row>
    <row r="17" spans="2:243" outlineLevel="1" x14ac:dyDescent="0.25">
      <c r="B17" s="769" t="s">
        <v>531</v>
      </c>
      <c r="C17" s="742"/>
      <c r="D17" s="742"/>
      <c r="E17" s="772">
        <f>SUM(E5:E16)</f>
        <v>230</v>
      </c>
      <c r="F17" s="773"/>
      <c r="G17" s="773"/>
      <c r="H17" s="774"/>
      <c r="I17" s="772">
        <f>SUM(I5:I16)</f>
        <v>314.79599999999999</v>
      </c>
      <c r="J17" s="772">
        <f t="shared" ref="J17:T17" si="14">SUM(J5:J16)</f>
        <v>108.75</v>
      </c>
      <c r="K17" s="772">
        <f t="shared" si="14"/>
        <v>1253.96</v>
      </c>
      <c r="L17" s="772">
        <f t="shared" si="14"/>
        <v>316</v>
      </c>
      <c r="M17" s="772">
        <f t="shared" si="14"/>
        <v>188.09399999999999</v>
      </c>
      <c r="N17" s="772">
        <f t="shared" si="14"/>
        <v>31.600000000000005</v>
      </c>
      <c r="O17" s="772">
        <f t="shared" si="14"/>
        <v>72.5</v>
      </c>
      <c r="P17" s="772">
        <f t="shared" si="14"/>
        <v>319.51499999999993</v>
      </c>
      <c r="Q17" s="772">
        <f t="shared" si="14"/>
        <v>949.66000000000008</v>
      </c>
      <c r="R17" s="772">
        <f t="shared" si="14"/>
        <v>949.66000000000008</v>
      </c>
      <c r="S17" s="772">
        <f t="shared" si="14"/>
        <v>304.3</v>
      </c>
      <c r="T17" s="772">
        <f t="shared" si="14"/>
        <v>304.3</v>
      </c>
      <c r="U17" s="775"/>
      <c r="II17" s="768"/>
    </row>
    <row r="18" spans="2:243" outlineLevel="1" x14ac:dyDescent="0.25">
      <c r="B18" s="771" t="s">
        <v>532</v>
      </c>
      <c r="C18" s="742"/>
      <c r="D18" s="742">
        <v>16</v>
      </c>
      <c r="E18" s="742">
        <f>D18</f>
        <v>16</v>
      </c>
      <c r="F18" s="742">
        <v>3.04</v>
      </c>
      <c r="G18" s="742">
        <v>1.45</v>
      </c>
      <c r="H18" s="462">
        <f>F18*G18</f>
        <v>4.4079999999999995</v>
      </c>
      <c r="I18" s="462">
        <f>H18*C18</f>
        <v>0</v>
      </c>
      <c r="J18" s="578">
        <f>H18*D18</f>
        <v>70.527999999999992</v>
      </c>
      <c r="K18" s="462">
        <f>(F18*2+G18*2)*E18</f>
        <v>143.68</v>
      </c>
      <c r="L18" s="462">
        <f>(F18*2+G18*2)*D18</f>
        <v>143.68</v>
      </c>
      <c r="M18" s="462">
        <f t="shared" si="10"/>
        <v>21.552</v>
      </c>
      <c r="N18" s="462">
        <f t="shared" si="11"/>
        <v>14.368000000000002</v>
      </c>
      <c r="O18" s="462">
        <f>F18*D18</f>
        <v>48.64</v>
      </c>
      <c r="P18" s="462">
        <f>E18*F18*1.05</f>
        <v>51.072000000000003</v>
      </c>
      <c r="Q18" s="462">
        <f>E18*(F18+2*G18)</f>
        <v>95.039999999999992</v>
      </c>
      <c r="R18" s="462">
        <f>Q18</f>
        <v>95.039999999999992</v>
      </c>
      <c r="S18" s="462">
        <f>E18*F18</f>
        <v>48.64</v>
      </c>
      <c r="T18" s="462">
        <f t="shared" si="13"/>
        <v>48.64</v>
      </c>
      <c r="U18" s="770"/>
      <c r="II18" s="768"/>
    </row>
    <row r="19" spans="2:243" outlineLevel="1" x14ac:dyDescent="0.25">
      <c r="B19" s="771" t="s">
        <v>555</v>
      </c>
      <c r="C19" s="742">
        <f t="shared" ref="C19" si="15">E19-D19</f>
        <v>6</v>
      </c>
      <c r="D19" s="742"/>
      <c r="E19" s="742">
        <v>6</v>
      </c>
      <c r="F19" s="742">
        <f>F18</f>
        <v>3.04</v>
      </c>
      <c r="G19" s="742">
        <f>G18</f>
        <v>1.45</v>
      </c>
      <c r="H19" s="462">
        <f>F19*G19</f>
        <v>4.4079999999999995</v>
      </c>
      <c r="I19" s="462">
        <f>H19*C19</f>
        <v>26.447999999999997</v>
      </c>
      <c r="J19" s="578">
        <f>H19*D19</f>
        <v>0</v>
      </c>
      <c r="K19" s="462">
        <f>(F19*2+G19*2)*E19</f>
        <v>53.88</v>
      </c>
      <c r="L19" s="462">
        <f>(F19*2+G19*2)*D19</f>
        <v>0</v>
      </c>
      <c r="M19" s="462">
        <f t="shared" si="10"/>
        <v>8.0820000000000007</v>
      </c>
      <c r="N19" s="462">
        <f t="shared" si="11"/>
        <v>0</v>
      </c>
      <c r="O19" s="462">
        <f>P19</f>
        <v>19.152000000000005</v>
      </c>
      <c r="P19" s="462">
        <f>E19*F19*1.05</f>
        <v>19.152000000000005</v>
      </c>
      <c r="Q19" s="462">
        <f>E19*(F19+2*G19)</f>
        <v>35.64</v>
      </c>
      <c r="R19" s="462">
        <f>Q19</f>
        <v>35.64</v>
      </c>
      <c r="S19" s="462">
        <f>E19*F19</f>
        <v>18.240000000000002</v>
      </c>
      <c r="T19" s="462">
        <f t="shared" si="13"/>
        <v>18.240000000000002</v>
      </c>
      <c r="U19" s="770"/>
      <c r="II19" s="768"/>
    </row>
    <row r="20" spans="2:243" outlineLevel="1" x14ac:dyDescent="0.25">
      <c r="B20" s="771" t="s">
        <v>533</v>
      </c>
      <c r="C20" s="742"/>
      <c r="D20" s="742">
        <v>46</v>
      </c>
      <c r="E20" s="742">
        <f>D20</f>
        <v>46</v>
      </c>
      <c r="F20" s="742">
        <v>6.24</v>
      </c>
      <c r="G20" s="742">
        <f>G19</f>
        <v>1.45</v>
      </c>
      <c r="H20" s="462">
        <f>F20*G20</f>
        <v>9.048</v>
      </c>
      <c r="I20" s="462">
        <f>H20*C20</f>
        <v>0</v>
      </c>
      <c r="J20" s="578">
        <f>H20*D20</f>
        <v>416.20800000000003</v>
      </c>
      <c r="K20" s="462">
        <f>(F20*2+G20*2)*E20</f>
        <v>707.48</v>
      </c>
      <c r="L20" s="462">
        <f>(F20*2+G20*2)*D20</f>
        <v>707.48</v>
      </c>
      <c r="M20" s="462">
        <f t="shared" si="10"/>
        <v>106.122</v>
      </c>
      <c r="N20" s="462">
        <f t="shared" si="11"/>
        <v>70.748000000000005</v>
      </c>
      <c r="O20" s="462">
        <f>F20*D20</f>
        <v>287.04000000000002</v>
      </c>
      <c r="P20" s="462">
        <f>E20*F20*1.05</f>
        <v>301.39200000000005</v>
      </c>
      <c r="Q20" s="462">
        <f>E20*(F20+2*G20)</f>
        <v>420.44000000000005</v>
      </c>
      <c r="R20" s="462">
        <f>Q20</f>
        <v>420.44000000000005</v>
      </c>
      <c r="S20" s="462">
        <f>E20*F20</f>
        <v>287.04000000000002</v>
      </c>
      <c r="T20" s="462">
        <f t="shared" si="13"/>
        <v>287.04000000000002</v>
      </c>
      <c r="U20" s="770"/>
      <c r="II20" s="768"/>
    </row>
    <row r="21" spans="2:243" outlineLevel="1" x14ac:dyDescent="0.25">
      <c r="B21" s="771" t="s">
        <v>556</v>
      </c>
      <c r="C21" s="742">
        <f t="shared" ref="C21" si="16">E21-D21</f>
        <v>21</v>
      </c>
      <c r="D21" s="742"/>
      <c r="E21" s="742">
        <v>21</v>
      </c>
      <c r="F21" s="742">
        <f>F20</f>
        <v>6.24</v>
      </c>
      <c r="G21" s="742">
        <f>G20</f>
        <v>1.45</v>
      </c>
      <c r="H21" s="462">
        <f>F21*G21</f>
        <v>9.048</v>
      </c>
      <c r="I21" s="462">
        <f>H21*C21</f>
        <v>190.00800000000001</v>
      </c>
      <c r="J21" s="578">
        <f>H21*D21</f>
        <v>0</v>
      </c>
      <c r="K21" s="462">
        <f>(F21*2+G21*2)*E21</f>
        <v>322.98</v>
      </c>
      <c r="L21" s="462">
        <f>(F21*2+G21*2)*D21</f>
        <v>0</v>
      </c>
      <c r="M21" s="462">
        <f t="shared" si="10"/>
        <v>48.447000000000003</v>
      </c>
      <c r="N21" s="462">
        <f t="shared" si="11"/>
        <v>0</v>
      </c>
      <c r="O21" s="462">
        <f>P21</f>
        <v>137.59199999999998</v>
      </c>
      <c r="P21" s="462">
        <f>E21*F21*1.05</f>
        <v>137.59199999999998</v>
      </c>
      <c r="Q21" s="462">
        <f>E21*(F21+2*G21)</f>
        <v>191.94</v>
      </c>
      <c r="R21" s="462">
        <f>Q21</f>
        <v>191.94</v>
      </c>
      <c r="S21" s="462">
        <f>E21*F21</f>
        <v>131.04</v>
      </c>
      <c r="T21" s="462">
        <f t="shared" si="13"/>
        <v>131.04</v>
      </c>
      <c r="U21" s="770"/>
      <c r="II21" s="768"/>
    </row>
    <row r="22" spans="2:243" outlineLevel="1" x14ac:dyDescent="0.25">
      <c r="B22" s="769" t="s">
        <v>453</v>
      </c>
      <c r="C22" s="742"/>
      <c r="D22" s="742"/>
      <c r="E22" s="772">
        <f>SUM(E18:E21)</f>
        <v>89</v>
      </c>
      <c r="F22" s="773"/>
      <c r="G22" s="773"/>
      <c r="H22" s="774"/>
      <c r="I22" s="772">
        <f>SUM(I18:I21)</f>
        <v>216.45600000000002</v>
      </c>
      <c r="J22" s="772">
        <f t="shared" ref="J22:T22" si="17">SUM(J18:J21)</f>
        <v>486.73599999999999</v>
      </c>
      <c r="K22" s="772">
        <f t="shared" si="17"/>
        <v>1228.02</v>
      </c>
      <c r="L22" s="772">
        <f t="shared" si="17"/>
        <v>851.16000000000008</v>
      </c>
      <c r="M22" s="772">
        <f t="shared" si="17"/>
        <v>184.203</v>
      </c>
      <c r="N22" s="772">
        <f t="shared" si="17"/>
        <v>85.116000000000014</v>
      </c>
      <c r="O22" s="772">
        <f t="shared" si="17"/>
        <v>492.42399999999998</v>
      </c>
      <c r="P22" s="772">
        <f t="shared" si="17"/>
        <v>509.20800000000003</v>
      </c>
      <c r="Q22" s="772">
        <f t="shared" si="17"/>
        <v>743.06000000000017</v>
      </c>
      <c r="R22" s="772">
        <f t="shared" si="17"/>
        <v>743.06000000000017</v>
      </c>
      <c r="S22" s="772">
        <f t="shared" si="17"/>
        <v>484.96000000000004</v>
      </c>
      <c r="T22" s="772">
        <f t="shared" si="17"/>
        <v>484.96000000000004</v>
      </c>
      <c r="U22" s="775"/>
      <c r="II22" s="768"/>
    </row>
    <row r="23" spans="2:243" outlineLevel="1" x14ac:dyDescent="0.25">
      <c r="B23" s="776" t="s">
        <v>2</v>
      </c>
      <c r="C23" s="742">
        <f t="shared" ref="C23:C35" si="18">E23-D23</f>
        <v>0</v>
      </c>
      <c r="D23" s="742">
        <v>4</v>
      </c>
      <c r="E23" s="742">
        <f>D23</f>
        <v>4</v>
      </c>
      <c r="F23" s="773">
        <v>1.27</v>
      </c>
      <c r="G23" s="773">
        <v>2.1</v>
      </c>
      <c r="H23" s="774">
        <f t="shared" si="2"/>
        <v>2.6670000000000003</v>
      </c>
      <c r="I23" s="774">
        <f t="shared" si="3"/>
        <v>0</v>
      </c>
      <c r="J23" s="772">
        <f>H23*E23</f>
        <v>10.668000000000001</v>
      </c>
      <c r="K23" s="462">
        <f>(F23*2+G23*2)*E23</f>
        <v>26.96</v>
      </c>
      <c r="L23" s="774">
        <f>(F23*2+G23*2)*E23</f>
        <v>26.96</v>
      </c>
      <c r="M23" s="462">
        <f t="shared" ref="M23:M28" si="19">(K23-F23)*$M$3</f>
        <v>3.8534999999999999</v>
      </c>
      <c r="N23" s="774">
        <f>IF(L23&gt;0,(L23-F23)*$N$3,0)</f>
        <v>2.5690000000000004</v>
      </c>
      <c r="O23" s="774"/>
      <c r="P23" s="774"/>
      <c r="Q23" s="462">
        <f>E23*(F23+2*G23)</f>
        <v>21.880000000000003</v>
      </c>
      <c r="R23" s="462">
        <f>Q23</f>
        <v>21.880000000000003</v>
      </c>
      <c r="S23" s="462">
        <f>E23*F23</f>
        <v>5.08</v>
      </c>
      <c r="T23" s="774"/>
      <c r="U23" s="775"/>
      <c r="II23" s="768"/>
    </row>
    <row r="24" spans="2:243" outlineLevel="1" x14ac:dyDescent="0.25">
      <c r="B24" s="771" t="s">
        <v>3</v>
      </c>
      <c r="C24" s="742">
        <f t="shared" si="18"/>
        <v>2</v>
      </c>
      <c r="D24" s="742"/>
      <c r="E24" s="742">
        <v>2</v>
      </c>
      <c r="F24" s="742">
        <v>1.27</v>
      </c>
      <c r="G24" s="742">
        <v>2.1</v>
      </c>
      <c r="H24" s="462">
        <f t="shared" si="2"/>
        <v>2.6670000000000003</v>
      </c>
      <c r="I24" s="462">
        <f>H24*C24</f>
        <v>5.3340000000000005</v>
      </c>
      <c r="J24" s="578">
        <f t="shared" si="7"/>
        <v>0</v>
      </c>
      <c r="K24" s="462">
        <f>(F24*2+G24*2)*E24</f>
        <v>13.48</v>
      </c>
      <c r="L24" s="462">
        <f t="shared" si="9"/>
        <v>0</v>
      </c>
      <c r="M24" s="462">
        <f t="shared" si="19"/>
        <v>1.8315000000000001</v>
      </c>
      <c r="N24" s="774">
        <f>IF(L24&gt;0,(L24-F24)*$N$3,0)</f>
        <v>0</v>
      </c>
      <c r="O24" s="462"/>
      <c r="P24" s="462"/>
      <c r="Q24" s="462">
        <f>E24*(F24+2*G24)</f>
        <v>10.940000000000001</v>
      </c>
      <c r="R24" s="462">
        <f>Q24</f>
        <v>10.940000000000001</v>
      </c>
      <c r="S24" s="462">
        <f>E24*F24</f>
        <v>2.54</v>
      </c>
      <c r="T24" s="462"/>
      <c r="U24" s="374"/>
      <c r="II24" s="768"/>
    </row>
    <row r="25" spans="2:243" outlineLevel="1" x14ac:dyDescent="0.25">
      <c r="B25" s="771" t="s">
        <v>525</v>
      </c>
      <c r="C25" s="742">
        <f t="shared" si="18"/>
        <v>0</v>
      </c>
      <c r="D25" s="742">
        <v>2</v>
      </c>
      <c r="E25" s="742">
        <f t="shared" ref="E25:E35" si="20">D25</f>
        <v>2</v>
      </c>
      <c r="F25" s="742">
        <v>1.27</v>
      </c>
      <c r="G25" s="742">
        <v>2.1</v>
      </c>
      <c r="H25" s="462">
        <f>F25*G25</f>
        <v>2.6670000000000003</v>
      </c>
      <c r="I25" s="462">
        <f>H25*C25</f>
        <v>0</v>
      </c>
      <c r="J25" s="578">
        <f>H25*D25</f>
        <v>5.3340000000000005</v>
      </c>
      <c r="K25" s="462">
        <f>(F25*2+G25*2)*E25</f>
        <v>13.48</v>
      </c>
      <c r="L25" s="462">
        <f>(F25*2+G25*2)*D25</f>
        <v>13.48</v>
      </c>
      <c r="M25" s="462">
        <f t="shared" si="19"/>
        <v>1.8315000000000001</v>
      </c>
      <c r="N25" s="774">
        <f t="shared" ref="N25:N35" si="21">IF(L25&gt;0,(L25-F25)*$N$3,0)</f>
        <v>1.2210000000000001</v>
      </c>
      <c r="O25" s="462"/>
      <c r="P25" s="462"/>
      <c r="Q25" s="462">
        <f>E25*(F25+2*G25)</f>
        <v>10.940000000000001</v>
      </c>
      <c r="R25" s="462">
        <f>Q25</f>
        <v>10.940000000000001</v>
      </c>
      <c r="S25" s="462">
        <f>E25*F25</f>
        <v>2.54</v>
      </c>
      <c r="T25" s="462"/>
      <c r="U25" s="374"/>
      <c r="II25" s="768"/>
    </row>
    <row r="26" spans="2:243" outlineLevel="1" x14ac:dyDescent="0.25">
      <c r="B26" s="771" t="s">
        <v>4</v>
      </c>
      <c r="C26" s="742">
        <f t="shared" si="18"/>
        <v>56</v>
      </c>
      <c r="D26" s="742"/>
      <c r="E26" s="742">
        <v>56</v>
      </c>
      <c r="F26" s="742">
        <v>0.7</v>
      </c>
      <c r="G26" s="742">
        <v>2.1</v>
      </c>
      <c r="H26" s="462">
        <f t="shared" si="2"/>
        <v>1.47</v>
      </c>
      <c r="I26" s="462">
        <f t="shared" si="3"/>
        <v>82.32</v>
      </c>
      <c r="J26" s="578">
        <f t="shared" si="7"/>
        <v>0</v>
      </c>
      <c r="K26" s="462">
        <f t="shared" si="8"/>
        <v>313.59999999999997</v>
      </c>
      <c r="L26" s="462">
        <f t="shared" si="9"/>
        <v>0</v>
      </c>
      <c r="M26" s="462">
        <f t="shared" si="19"/>
        <v>46.934999999999995</v>
      </c>
      <c r="N26" s="774">
        <f t="shared" si="21"/>
        <v>0</v>
      </c>
      <c r="O26" s="462"/>
      <c r="P26" s="462"/>
      <c r="Q26" s="462">
        <f t="shared" si="4"/>
        <v>274.40000000000003</v>
      </c>
      <c r="R26" s="462">
        <f t="shared" si="5"/>
        <v>274.40000000000003</v>
      </c>
      <c r="S26" s="462">
        <f t="shared" si="6"/>
        <v>39.199999999999996</v>
      </c>
      <c r="T26" s="462"/>
      <c r="U26" s="374"/>
      <c r="II26" s="768"/>
    </row>
    <row r="27" spans="2:243" outlineLevel="1" x14ac:dyDescent="0.25">
      <c r="B27" s="771" t="s">
        <v>187</v>
      </c>
      <c r="C27" s="742">
        <f t="shared" si="18"/>
        <v>0</v>
      </c>
      <c r="D27" s="742">
        <v>29</v>
      </c>
      <c r="E27" s="742">
        <f t="shared" si="20"/>
        <v>29</v>
      </c>
      <c r="F27" s="742">
        <v>0.7</v>
      </c>
      <c r="G27" s="742">
        <v>2.1</v>
      </c>
      <c r="H27" s="462">
        <f t="shared" si="2"/>
        <v>1.47</v>
      </c>
      <c r="I27" s="462">
        <f t="shared" si="3"/>
        <v>0</v>
      </c>
      <c r="J27" s="578">
        <f t="shared" si="7"/>
        <v>42.63</v>
      </c>
      <c r="K27" s="462">
        <f t="shared" si="8"/>
        <v>162.39999999999998</v>
      </c>
      <c r="L27" s="462">
        <f t="shared" si="9"/>
        <v>162.39999999999998</v>
      </c>
      <c r="M27" s="462">
        <f t="shared" si="19"/>
        <v>24.254999999999999</v>
      </c>
      <c r="N27" s="774">
        <f t="shared" si="21"/>
        <v>16.169999999999998</v>
      </c>
      <c r="O27" s="462"/>
      <c r="P27" s="462"/>
      <c r="Q27" s="462">
        <f t="shared" si="4"/>
        <v>142.10000000000002</v>
      </c>
      <c r="R27" s="462">
        <f t="shared" si="5"/>
        <v>142.10000000000002</v>
      </c>
      <c r="S27" s="462">
        <f t="shared" si="6"/>
        <v>20.299999999999997</v>
      </c>
      <c r="T27" s="462"/>
      <c r="U27" s="374"/>
      <c r="II27" s="768"/>
    </row>
    <row r="28" spans="2:243" outlineLevel="1" x14ac:dyDescent="0.25">
      <c r="B28" s="771" t="s">
        <v>188</v>
      </c>
      <c r="C28" s="742">
        <f t="shared" si="18"/>
        <v>0</v>
      </c>
      <c r="D28" s="742">
        <v>4</v>
      </c>
      <c r="E28" s="742">
        <f t="shared" si="20"/>
        <v>4</v>
      </c>
      <c r="F28" s="742">
        <v>0.95</v>
      </c>
      <c r="G28" s="742">
        <v>1.9</v>
      </c>
      <c r="H28" s="462">
        <f t="shared" si="2"/>
        <v>1.8049999999999999</v>
      </c>
      <c r="I28" s="462">
        <f t="shared" si="3"/>
        <v>0</v>
      </c>
      <c r="J28" s="578">
        <f t="shared" si="7"/>
        <v>7.22</v>
      </c>
      <c r="K28" s="462">
        <f t="shared" si="8"/>
        <v>22.799999999999997</v>
      </c>
      <c r="L28" s="462">
        <f t="shared" si="9"/>
        <v>22.799999999999997</v>
      </c>
      <c r="M28" s="462">
        <f t="shared" si="19"/>
        <v>3.2774999999999994</v>
      </c>
      <c r="N28" s="774">
        <f t="shared" si="21"/>
        <v>2.1850000000000001</v>
      </c>
      <c r="O28" s="462"/>
      <c r="P28" s="462"/>
      <c r="Q28" s="462">
        <f t="shared" si="4"/>
        <v>19</v>
      </c>
      <c r="R28" s="462">
        <f t="shared" si="5"/>
        <v>19</v>
      </c>
      <c r="S28" s="462">
        <f t="shared" si="6"/>
        <v>3.8</v>
      </c>
      <c r="T28" s="462"/>
      <c r="U28" s="374"/>
      <c r="II28" s="768"/>
    </row>
    <row r="29" spans="2:243" outlineLevel="1" x14ac:dyDescent="0.25">
      <c r="B29" s="771"/>
      <c r="C29" s="742"/>
      <c r="D29" s="742"/>
      <c r="E29" s="742"/>
      <c r="F29" s="742"/>
      <c r="G29" s="742"/>
      <c r="H29" s="462"/>
      <c r="I29" s="772">
        <f>SUM(I24:I28)</f>
        <v>87.653999999999996</v>
      </c>
      <c r="J29" s="772">
        <f>SUM(J24:J28)</f>
        <v>55.184000000000005</v>
      </c>
      <c r="K29" s="462"/>
      <c r="L29" s="462"/>
      <c r="M29" s="462"/>
      <c r="N29" s="774"/>
      <c r="O29" s="462"/>
      <c r="P29" s="462"/>
      <c r="Q29" s="462"/>
      <c r="R29" s="462"/>
      <c r="S29" s="462"/>
      <c r="T29" s="462"/>
      <c r="U29" s="374"/>
      <c r="II29" s="768"/>
    </row>
    <row r="30" spans="2:243" outlineLevel="1" x14ac:dyDescent="0.25">
      <c r="B30" s="771" t="s">
        <v>528</v>
      </c>
      <c r="C30" s="742">
        <f t="shared" si="18"/>
        <v>0</v>
      </c>
      <c r="D30" s="742">
        <v>45</v>
      </c>
      <c r="E30" s="742">
        <f t="shared" si="20"/>
        <v>45</v>
      </c>
      <c r="F30" s="742">
        <v>0.14000000000000001</v>
      </c>
      <c r="G30" s="742">
        <f>F30</f>
        <v>0.14000000000000001</v>
      </c>
      <c r="H30" s="462">
        <f t="shared" ref="H30:H35" si="22">F30*G30</f>
        <v>1.9600000000000003E-2</v>
      </c>
      <c r="I30" s="462">
        <f t="shared" ref="I30:I35" si="23">H30*C30</f>
        <v>0</v>
      </c>
      <c r="J30" s="578">
        <f t="shared" si="7"/>
        <v>0.88200000000000012</v>
      </c>
      <c r="K30" s="462">
        <f t="shared" ref="K30:K35" si="24">(F30*2+G30*2)*E30</f>
        <v>25.200000000000003</v>
      </c>
      <c r="L30" s="462">
        <f t="shared" ref="L30:L35" si="25">(F30*2+G30*2)*D30</f>
        <v>25.200000000000003</v>
      </c>
      <c r="M30" s="462"/>
      <c r="N30" s="774">
        <f t="shared" si="21"/>
        <v>2.5060000000000002</v>
      </c>
      <c r="O30" s="462"/>
      <c r="P30" s="462"/>
      <c r="Q30" s="462">
        <f t="shared" ref="Q30:Q35" si="26">E30*(F30+2*G30)</f>
        <v>18.900000000000002</v>
      </c>
      <c r="R30" s="462">
        <f t="shared" si="5"/>
        <v>18.900000000000002</v>
      </c>
      <c r="S30" s="462">
        <f t="shared" ref="S30:S35" si="27">E30*F30</f>
        <v>6.3000000000000007</v>
      </c>
      <c r="T30" s="462"/>
      <c r="U30" s="770"/>
      <c r="II30" s="768"/>
    </row>
    <row r="31" spans="2:243" outlineLevel="1" x14ac:dyDescent="0.25">
      <c r="B31" s="771" t="s">
        <v>557</v>
      </c>
      <c r="C31" s="742">
        <f t="shared" si="18"/>
        <v>0</v>
      </c>
      <c r="D31" s="742">
        <v>45</v>
      </c>
      <c r="E31" s="742">
        <f t="shared" si="20"/>
        <v>45</v>
      </c>
      <c r="F31" s="742">
        <f t="shared" ref="F31:G33" si="28">F30</f>
        <v>0.14000000000000001</v>
      </c>
      <c r="G31" s="742">
        <f t="shared" si="28"/>
        <v>0.14000000000000001</v>
      </c>
      <c r="H31" s="462">
        <f t="shared" si="22"/>
        <v>1.9600000000000003E-2</v>
      </c>
      <c r="I31" s="462">
        <f t="shared" si="23"/>
        <v>0</v>
      </c>
      <c r="J31" s="578">
        <f t="shared" si="7"/>
        <v>0.88200000000000012</v>
      </c>
      <c r="K31" s="462">
        <f t="shared" si="24"/>
        <v>25.200000000000003</v>
      </c>
      <c r="L31" s="462">
        <f t="shared" si="25"/>
        <v>25.200000000000003</v>
      </c>
      <c r="M31" s="462"/>
      <c r="N31" s="774">
        <f t="shared" si="21"/>
        <v>2.5060000000000002</v>
      </c>
      <c r="O31" s="462"/>
      <c r="P31" s="462"/>
      <c r="Q31" s="462">
        <f t="shared" si="26"/>
        <v>18.900000000000002</v>
      </c>
      <c r="R31" s="462">
        <f>Q31</f>
        <v>18.900000000000002</v>
      </c>
      <c r="S31" s="462">
        <f t="shared" si="27"/>
        <v>6.3000000000000007</v>
      </c>
      <c r="T31" s="462"/>
      <c r="U31" s="770"/>
      <c r="II31" s="768"/>
    </row>
    <row r="32" spans="2:243" outlineLevel="1" x14ac:dyDescent="0.25">
      <c r="B32" s="771" t="s">
        <v>527</v>
      </c>
      <c r="C32" s="742">
        <f t="shared" si="18"/>
        <v>0</v>
      </c>
      <c r="D32" s="742">
        <v>13</v>
      </c>
      <c r="E32" s="742">
        <f t="shared" si="20"/>
        <v>13</v>
      </c>
      <c r="F32" s="742">
        <f t="shared" si="28"/>
        <v>0.14000000000000001</v>
      </c>
      <c r="G32" s="742">
        <f t="shared" si="28"/>
        <v>0.14000000000000001</v>
      </c>
      <c r="H32" s="462">
        <f t="shared" si="22"/>
        <v>1.9600000000000003E-2</v>
      </c>
      <c r="I32" s="462">
        <f t="shared" si="23"/>
        <v>0</v>
      </c>
      <c r="J32" s="578">
        <f t="shared" si="7"/>
        <v>0.25480000000000003</v>
      </c>
      <c r="K32" s="462">
        <f t="shared" si="24"/>
        <v>7.2800000000000011</v>
      </c>
      <c r="L32" s="462">
        <f t="shared" si="25"/>
        <v>7.2800000000000011</v>
      </c>
      <c r="M32" s="462"/>
      <c r="N32" s="774">
        <f t="shared" si="21"/>
        <v>0.71400000000000019</v>
      </c>
      <c r="O32" s="462"/>
      <c r="P32" s="462"/>
      <c r="Q32" s="462">
        <f t="shared" si="26"/>
        <v>5.4600000000000009</v>
      </c>
      <c r="R32" s="462">
        <f>Q32</f>
        <v>5.4600000000000009</v>
      </c>
      <c r="S32" s="462">
        <f t="shared" si="27"/>
        <v>1.8200000000000003</v>
      </c>
      <c r="T32" s="462"/>
      <c r="U32" s="770"/>
      <c r="II32" s="768"/>
    </row>
    <row r="33" spans="1:243" outlineLevel="1" x14ac:dyDescent="0.25">
      <c r="B33" s="771" t="s">
        <v>529</v>
      </c>
      <c r="C33" s="742">
        <f t="shared" si="18"/>
        <v>0</v>
      </c>
      <c r="D33" s="742">
        <v>36</v>
      </c>
      <c r="E33" s="742">
        <f t="shared" si="20"/>
        <v>36</v>
      </c>
      <c r="F33" s="742">
        <f t="shared" si="28"/>
        <v>0.14000000000000001</v>
      </c>
      <c r="G33" s="742">
        <f t="shared" si="28"/>
        <v>0.14000000000000001</v>
      </c>
      <c r="H33" s="462">
        <f t="shared" si="22"/>
        <v>1.9600000000000003E-2</v>
      </c>
      <c r="I33" s="462">
        <f t="shared" si="23"/>
        <v>0</v>
      </c>
      <c r="J33" s="578">
        <f t="shared" si="7"/>
        <v>0.70560000000000012</v>
      </c>
      <c r="K33" s="462">
        <f t="shared" si="24"/>
        <v>20.160000000000004</v>
      </c>
      <c r="L33" s="462">
        <f t="shared" si="25"/>
        <v>20.160000000000004</v>
      </c>
      <c r="M33" s="462"/>
      <c r="N33" s="774">
        <f t="shared" si="21"/>
        <v>2.0020000000000002</v>
      </c>
      <c r="O33" s="462"/>
      <c r="P33" s="462"/>
      <c r="Q33" s="462">
        <f t="shared" si="26"/>
        <v>15.120000000000001</v>
      </c>
      <c r="R33" s="462">
        <f>Q33</f>
        <v>15.120000000000001</v>
      </c>
      <c r="S33" s="462">
        <f t="shared" si="27"/>
        <v>5.0400000000000009</v>
      </c>
      <c r="T33" s="462"/>
      <c r="U33" s="770"/>
      <c r="II33" s="768"/>
    </row>
    <row r="34" spans="1:243" ht="33.75" outlineLevel="1" x14ac:dyDescent="0.25">
      <c r="B34" s="777" t="s">
        <v>530</v>
      </c>
      <c r="C34" s="742">
        <f t="shared" si="18"/>
        <v>0</v>
      </c>
      <c r="D34" s="742">
        <v>8</v>
      </c>
      <c r="E34" s="742">
        <f t="shared" si="20"/>
        <v>8</v>
      </c>
      <c r="F34" s="742">
        <v>2.2000000000000002</v>
      </c>
      <c r="G34" s="742">
        <v>0.6</v>
      </c>
      <c r="H34" s="462">
        <f t="shared" si="22"/>
        <v>1.32</v>
      </c>
      <c r="I34" s="462">
        <f t="shared" si="23"/>
        <v>0</v>
      </c>
      <c r="J34" s="578">
        <f t="shared" si="7"/>
        <v>10.56</v>
      </c>
      <c r="K34" s="462">
        <f t="shared" si="24"/>
        <v>44.800000000000004</v>
      </c>
      <c r="L34" s="462">
        <f t="shared" si="25"/>
        <v>44.800000000000004</v>
      </c>
      <c r="M34" s="462"/>
      <c r="N34" s="774">
        <f t="shared" si="21"/>
        <v>4.2600000000000007</v>
      </c>
      <c r="O34" s="462"/>
      <c r="P34" s="462"/>
      <c r="Q34" s="462">
        <f t="shared" si="26"/>
        <v>27.200000000000003</v>
      </c>
      <c r="R34" s="462">
        <f>Q34</f>
        <v>27.200000000000003</v>
      </c>
      <c r="S34" s="462">
        <f t="shared" si="27"/>
        <v>17.600000000000001</v>
      </c>
      <c r="T34" s="462"/>
      <c r="U34" s="770"/>
      <c r="II34" s="768"/>
    </row>
    <row r="35" spans="1:243" outlineLevel="1" x14ac:dyDescent="0.25">
      <c r="B35" s="771" t="s">
        <v>526</v>
      </c>
      <c r="C35" s="742">
        <f t="shared" si="18"/>
        <v>0</v>
      </c>
      <c r="D35" s="742">
        <v>8</v>
      </c>
      <c r="E35" s="742">
        <f t="shared" si="20"/>
        <v>8</v>
      </c>
      <c r="F35" s="742">
        <v>1.2</v>
      </c>
      <c r="G35" s="742">
        <v>0.4</v>
      </c>
      <c r="H35" s="462">
        <f t="shared" si="22"/>
        <v>0.48</v>
      </c>
      <c r="I35" s="462">
        <f t="shared" si="23"/>
        <v>0</v>
      </c>
      <c r="J35" s="578">
        <f t="shared" si="7"/>
        <v>3.84</v>
      </c>
      <c r="K35" s="462">
        <f t="shared" si="24"/>
        <v>25.6</v>
      </c>
      <c r="L35" s="462">
        <f t="shared" si="25"/>
        <v>25.6</v>
      </c>
      <c r="M35" s="462"/>
      <c r="N35" s="774">
        <f t="shared" si="21"/>
        <v>2.4400000000000004</v>
      </c>
      <c r="O35" s="462"/>
      <c r="P35" s="462"/>
      <c r="Q35" s="462">
        <f t="shared" si="26"/>
        <v>16</v>
      </c>
      <c r="R35" s="462">
        <f>Q35</f>
        <v>16</v>
      </c>
      <c r="S35" s="462">
        <f t="shared" si="27"/>
        <v>9.6</v>
      </c>
      <c r="T35" s="462"/>
      <c r="U35" s="770"/>
      <c r="II35" s="768"/>
    </row>
    <row r="36" spans="1:243" outlineLevel="1" x14ac:dyDescent="0.25">
      <c r="B36" s="164"/>
      <c r="C36" s="634"/>
      <c r="D36" s="634"/>
      <c r="E36" s="772">
        <f>SUM(E23:E35)</f>
        <v>252</v>
      </c>
      <c r="F36" s="634"/>
      <c r="G36" s="634"/>
      <c r="H36" s="778"/>
      <c r="I36" s="772">
        <f>SUM(I30:I35)</f>
        <v>0</v>
      </c>
      <c r="J36" s="772">
        <f>SUM(J30:J35)</f>
        <v>17.124400000000001</v>
      </c>
      <c r="K36" s="772">
        <f t="shared" ref="K36:T36" si="29">SUM(K23:K35)</f>
        <v>700.95999999999992</v>
      </c>
      <c r="L36" s="772">
        <f t="shared" si="29"/>
        <v>373.88</v>
      </c>
      <c r="M36" s="772">
        <f t="shared" si="29"/>
        <v>81.983999999999995</v>
      </c>
      <c r="N36" s="772">
        <f t="shared" si="29"/>
        <v>36.572999999999993</v>
      </c>
      <c r="O36" s="772">
        <f t="shared" si="29"/>
        <v>0</v>
      </c>
      <c r="P36" s="772">
        <f t="shared" si="29"/>
        <v>0</v>
      </c>
      <c r="Q36" s="772">
        <f t="shared" si="29"/>
        <v>580.84000000000015</v>
      </c>
      <c r="R36" s="772">
        <f t="shared" si="29"/>
        <v>580.84000000000015</v>
      </c>
      <c r="S36" s="772">
        <f t="shared" si="29"/>
        <v>120.12</v>
      </c>
      <c r="T36" s="772">
        <f t="shared" si="29"/>
        <v>0</v>
      </c>
      <c r="U36" s="779"/>
      <c r="II36" s="768"/>
    </row>
    <row r="37" spans="1:243" ht="58.5" outlineLevel="1" thickBot="1" x14ac:dyDescent="0.3">
      <c r="B37" s="780" t="s">
        <v>767</v>
      </c>
      <c r="C37" s="375"/>
      <c r="D37" s="781"/>
      <c r="E37" s="772">
        <f>E36+E22+E17</f>
        <v>571</v>
      </c>
      <c r="F37" s="781"/>
      <c r="G37" s="781"/>
      <c r="H37" s="781"/>
      <c r="I37" s="772">
        <f>I36+I22+I17</f>
        <v>531.25199999999995</v>
      </c>
      <c r="J37" s="772">
        <f>J36+J22+J17</f>
        <v>612.61040000000003</v>
      </c>
      <c r="K37" s="772">
        <f t="shared" ref="K37:T37" si="30">K36+K22+K17</f>
        <v>3182.94</v>
      </c>
      <c r="L37" s="772">
        <f t="shared" si="30"/>
        <v>1541.04</v>
      </c>
      <c r="M37" s="772">
        <f t="shared" si="30"/>
        <v>454.28100000000001</v>
      </c>
      <c r="N37" s="772">
        <f t="shared" si="30"/>
        <v>153.28900000000002</v>
      </c>
      <c r="O37" s="772">
        <f>O36+O22+O17</f>
        <v>564.92399999999998</v>
      </c>
      <c r="P37" s="772">
        <f t="shared" si="30"/>
        <v>828.72299999999996</v>
      </c>
      <c r="Q37" s="772">
        <f t="shared" si="30"/>
        <v>2273.5600000000004</v>
      </c>
      <c r="R37" s="772">
        <f t="shared" si="30"/>
        <v>2273.5600000000004</v>
      </c>
      <c r="S37" s="772">
        <f t="shared" si="30"/>
        <v>909.38000000000011</v>
      </c>
      <c r="T37" s="772">
        <f t="shared" si="30"/>
        <v>789.26</v>
      </c>
      <c r="U37" s="782">
        <v>210</v>
      </c>
      <c r="II37" s="768"/>
    </row>
    <row r="38" spans="1:243" ht="15.75" outlineLevel="1" thickBot="1" x14ac:dyDescent="0.3">
      <c r="B38" s="783" t="s">
        <v>534</v>
      </c>
      <c r="C38" s="784"/>
      <c r="E38" s="767">
        <v>39</v>
      </c>
      <c r="F38" s="767">
        <v>6.24</v>
      </c>
      <c r="G38" s="785">
        <v>1.1000000000000001</v>
      </c>
      <c r="H38" s="462">
        <f>F38*G38</f>
        <v>6.8640000000000008</v>
      </c>
      <c r="J38" s="578">
        <f>H38*E38</f>
        <v>267.69600000000003</v>
      </c>
      <c r="Q38" s="462">
        <f>E38*F38</f>
        <v>243.36</v>
      </c>
      <c r="II38" s="768"/>
    </row>
    <row r="39" spans="1:243" ht="15.75" outlineLevel="1" thickBot="1" x14ac:dyDescent="0.3">
      <c r="B39" s="783" t="s">
        <v>535</v>
      </c>
      <c r="C39" s="381"/>
      <c r="E39" s="742">
        <v>12</v>
      </c>
      <c r="F39" s="742">
        <v>3.04</v>
      </c>
      <c r="G39" s="374">
        <f>G38</f>
        <v>1.1000000000000001</v>
      </c>
      <c r="H39" s="462">
        <f>F39*G39</f>
        <v>3.3440000000000003</v>
      </c>
      <c r="J39" s="578">
        <f>H39*E39</f>
        <v>40.128</v>
      </c>
      <c r="Q39" s="462">
        <f>E39*F39</f>
        <v>36.480000000000004</v>
      </c>
      <c r="II39" s="768"/>
    </row>
    <row r="40" spans="1:243" ht="15.75" outlineLevel="1" thickBot="1" x14ac:dyDescent="0.3">
      <c r="B40" s="783" t="s">
        <v>536</v>
      </c>
      <c r="C40" s="786"/>
      <c r="E40" s="773">
        <v>28</v>
      </c>
      <c r="F40" s="773">
        <v>6.24</v>
      </c>
      <c r="G40" s="374">
        <f>G39</f>
        <v>1.1000000000000001</v>
      </c>
      <c r="H40" s="462">
        <f>F40*G40</f>
        <v>6.8640000000000008</v>
      </c>
      <c r="J40" s="578">
        <f>H40*E40</f>
        <v>192.19200000000001</v>
      </c>
      <c r="Q40" s="462">
        <f>E40*F40</f>
        <v>174.72</v>
      </c>
      <c r="II40" s="768"/>
    </row>
    <row r="41" spans="1:243" ht="15.75" outlineLevel="1" thickBot="1" x14ac:dyDescent="0.3">
      <c r="B41" s="783" t="s">
        <v>537</v>
      </c>
      <c r="C41" s="787"/>
      <c r="E41" s="788">
        <v>10</v>
      </c>
      <c r="F41" s="788">
        <v>3.04</v>
      </c>
      <c r="G41" s="374">
        <f>G40</f>
        <v>1.1000000000000001</v>
      </c>
      <c r="H41" s="462">
        <f>F41*G41</f>
        <v>3.3440000000000003</v>
      </c>
      <c r="J41" s="578">
        <f>H41*E41</f>
        <v>33.440000000000005</v>
      </c>
      <c r="Q41" s="462">
        <f>E41*F41</f>
        <v>30.4</v>
      </c>
      <c r="II41" s="768"/>
    </row>
    <row r="42" spans="1:243" outlineLevel="1" collapsed="1" x14ac:dyDescent="0.25">
      <c r="B42" s="140"/>
      <c r="E42" s="789">
        <f>SUM(E38:E41)</f>
        <v>89</v>
      </c>
      <c r="J42" s="789">
        <f>SUM(J38:J41)</f>
        <v>533.45600000000002</v>
      </c>
      <c r="Q42" s="789">
        <f>SUM(Q38:Q41)</f>
        <v>484.96000000000004</v>
      </c>
      <c r="II42" s="768"/>
    </row>
    <row r="43" spans="1:243" x14ac:dyDescent="0.25">
      <c r="A43" s="141" t="s">
        <v>574</v>
      </c>
      <c r="B43" s="768"/>
      <c r="E43" s="789"/>
      <c r="J43" s="789"/>
      <c r="Q43" s="789"/>
      <c r="II43" s="768"/>
    </row>
    <row r="44" spans="1:243" outlineLevel="1" x14ac:dyDescent="0.25">
      <c r="A44" s="768"/>
      <c r="B44" s="769" t="s">
        <v>452</v>
      </c>
      <c r="C44" s="743"/>
      <c r="D44" s="743"/>
      <c r="E44" s="742"/>
      <c r="F44" s="742"/>
      <c r="G44" s="742"/>
      <c r="H44" s="742"/>
      <c r="I44" s="743"/>
      <c r="J44" s="633"/>
      <c r="K44" s="742"/>
      <c r="L44" s="742"/>
      <c r="M44" s="742"/>
      <c r="N44" s="742"/>
      <c r="O44" s="742"/>
      <c r="P44" s="742"/>
      <c r="Q44" s="743"/>
      <c r="R44" s="743"/>
      <c r="S44" s="743"/>
      <c r="T44" s="743"/>
      <c r="U44" s="770"/>
      <c r="II44" s="768"/>
    </row>
    <row r="45" spans="1:243" outlineLevel="1" x14ac:dyDescent="0.25">
      <c r="B45" s="771" t="s">
        <v>184</v>
      </c>
      <c r="C45" s="742">
        <f t="shared" ref="C45:C56" si="31">E45-D45</f>
        <v>23</v>
      </c>
      <c r="D45" s="742"/>
      <c r="E45" s="742">
        <v>23</v>
      </c>
      <c r="F45" s="742">
        <v>1.2</v>
      </c>
      <c r="G45" s="742">
        <v>1.5</v>
      </c>
      <c r="H45" s="462">
        <f t="shared" ref="H45:H53" si="32">F45*G45</f>
        <v>1.7999999999999998</v>
      </c>
      <c r="I45" s="462">
        <f t="shared" ref="I45:I53" si="33">H45*C45</f>
        <v>41.4</v>
      </c>
      <c r="J45" s="578">
        <f>H45*D45</f>
        <v>0</v>
      </c>
      <c r="K45" s="462">
        <f>(F45*2+G45*2)*E45</f>
        <v>124.2</v>
      </c>
      <c r="L45" s="462">
        <f t="shared" ref="L45:L53" si="34">(F45*2+G45*2)*D45</f>
        <v>0</v>
      </c>
      <c r="M45" s="462">
        <f>K45*$M$3</f>
        <v>18.63</v>
      </c>
      <c r="N45" s="462">
        <f>L45*$N$3</f>
        <v>0</v>
      </c>
      <c r="O45" s="462">
        <f>F45*D45</f>
        <v>0</v>
      </c>
      <c r="P45" s="462">
        <f t="shared" ref="P45:P53" si="35">E45*F45*1.05</f>
        <v>28.98</v>
      </c>
      <c r="Q45" s="462">
        <f t="shared" ref="Q45:Q53" si="36">E45*(F45+2*G45)</f>
        <v>96.600000000000009</v>
      </c>
      <c r="R45" s="462">
        <f t="shared" ref="R45:R53" si="37">Q45</f>
        <v>96.600000000000009</v>
      </c>
      <c r="S45" s="462">
        <f t="shared" ref="S45:S53" si="38">E45*F45</f>
        <v>27.599999999999998</v>
      </c>
      <c r="T45" s="462">
        <f t="shared" ref="T45:T53" si="39">S45</f>
        <v>27.599999999999998</v>
      </c>
      <c r="U45" s="770"/>
      <c r="II45" s="768"/>
    </row>
    <row r="46" spans="1:243" outlineLevel="1" x14ac:dyDescent="0.25">
      <c r="B46" s="771" t="s">
        <v>0</v>
      </c>
      <c r="C46" s="742">
        <f t="shared" si="31"/>
        <v>0</v>
      </c>
      <c r="D46" s="742">
        <v>15</v>
      </c>
      <c r="E46" s="742">
        <f>D46</f>
        <v>15</v>
      </c>
      <c r="F46" s="742">
        <v>1.2</v>
      </c>
      <c r="G46" s="742">
        <v>1.5</v>
      </c>
      <c r="H46" s="462">
        <f t="shared" si="32"/>
        <v>1.7999999999999998</v>
      </c>
      <c r="I46" s="462">
        <f t="shared" si="33"/>
        <v>0</v>
      </c>
      <c r="J46" s="578">
        <f t="shared" ref="J46:J53" si="40">H46*D46</f>
        <v>26.999999999999996</v>
      </c>
      <c r="K46" s="462">
        <f t="shared" ref="K46:K53" si="41">(F46*2+G46*2)*E46</f>
        <v>81</v>
      </c>
      <c r="L46" s="462">
        <f t="shared" si="34"/>
        <v>81</v>
      </c>
      <c r="M46" s="462">
        <f t="shared" ref="M46:M56" si="42">K46*$M$3</f>
        <v>12.15</v>
      </c>
      <c r="N46" s="462">
        <f t="shared" ref="N46:N56" si="43">L46*$N$3</f>
        <v>8.1</v>
      </c>
      <c r="O46" s="462">
        <f>F46*D46</f>
        <v>18</v>
      </c>
      <c r="P46" s="462">
        <f t="shared" si="35"/>
        <v>18.900000000000002</v>
      </c>
      <c r="Q46" s="462">
        <f t="shared" si="36"/>
        <v>63</v>
      </c>
      <c r="R46" s="462">
        <f t="shared" si="37"/>
        <v>63</v>
      </c>
      <c r="S46" s="462">
        <f t="shared" si="38"/>
        <v>18</v>
      </c>
      <c r="T46" s="462">
        <f t="shared" si="39"/>
        <v>18</v>
      </c>
      <c r="U46" s="770"/>
      <c r="II46" s="768"/>
    </row>
    <row r="47" spans="1:243" outlineLevel="1" x14ac:dyDescent="0.25">
      <c r="B47" s="771" t="s">
        <v>1</v>
      </c>
      <c r="C47" s="742">
        <f t="shared" si="31"/>
        <v>14</v>
      </c>
      <c r="D47" s="742"/>
      <c r="E47" s="742">
        <v>14</v>
      </c>
      <c r="F47" s="742">
        <v>1</v>
      </c>
      <c r="G47" s="742">
        <v>1.5</v>
      </c>
      <c r="H47" s="462">
        <f t="shared" si="32"/>
        <v>1.5</v>
      </c>
      <c r="I47" s="462">
        <f t="shared" si="33"/>
        <v>21</v>
      </c>
      <c r="J47" s="578">
        <f t="shared" si="40"/>
        <v>0</v>
      </c>
      <c r="K47" s="462">
        <f t="shared" si="41"/>
        <v>70</v>
      </c>
      <c r="L47" s="462">
        <f t="shared" si="34"/>
        <v>0</v>
      </c>
      <c r="M47" s="462">
        <f t="shared" si="42"/>
        <v>10.5</v>
      </c>
      <c r="N47" s="462">
        <f t="shared" si="43"/>
        <v>0</v>
      </c>
      <c r="O47" s="462">
        <f>F47*D47</f>
        <v>0</v>
      </c>
      <c r="P47" s="462">
        <f t="shared" si="35"/>
        <v>14.700000000000001</v>
      </c>
      <c r="Q47" s="462">
        <f t="shared" si="36"/>
        <v>56</v>
      </c>
      <c r="R47" s="462">
        <f t="shared" si="37"/>
        <v>56</v>
      </c>
      <c r="S47" s="462">
        <f t="shared" si="38"/>
        <v>14</v>
      </c>
      <c r="T47" s="462">
        <f t="shared" si="39"/>
        <v>14</v>
      </c>
      <c r="U47" s="770"/>
      <c r="II47" s="768"/>
    </row>
    <row r="48" spans="1:243" outlineLevel="1" x14ac:dyDescent="0.25">
      <c r="B48" s="771" t="s">
        <v>182</v>
      </c>
      <c r="C48" s="742">
        <f t="shared" si="31"/>
        <v>0</v>
      </c>
      <c r="D48" s="742">
        <v>6</v>
      </c>
      <c r="E48" s="742">
        <f>D48</f>
        <v>6</v>
      </c>
      <c r="F48" s="742">
        <v>1</v>
      </c>
      <c r="G48" s="742">
        <v>1.5</v>
      </c>
      <c r="H48" s="462">
        <f t="shared" si="32"/>
        <v>1.5</v>
      </c>
      <c r="I48" s="462">
        <f t="shared" si="33"/>
        <v>0</v>
      </c>
      <c r="J48" s="578">
        <f t="shared" si="40"/>
        <v>9</v>
      </c>
      <c r="K48" s="462">
        <f t="shared" si="41"/>
        <v>30</v>
      </c>
      <c r="L48" s="462">
        <f t="shared" si="34"/>
        <v>30</v>
      </c>
      <c r="M48" s="462">
        <f t="shared" si="42"/>
        <v>4.5</v>
      </c>
      <c r="N48" s="462">
        <f t="shared" si="43"/>
        <v>3</v>
      </c>
      <c r="O48" s="462">
        <f t="shared" ref="O48:O53" si="44">F48*D48</f>
        <v>6</v>
      </c>
      <c r="P48" s="462">
        <f t="shared" si="35"/>
        <v>6.3000000000000007</v>
      </c>
      <c r="Q48" s="462">
        <f t="shared" si="36"/>
        <v>24</v>
      </c>
      <c r="R48" s="462">
        <f t="shared" si="37"/>
        <v>24</v>
      </c>
      <c r="S48" s="462">
        <f t="shared" si="38"/>
        <v>6</v>
      </c>
      <c r="T48" s="462">
        <f t="shared" si="39"/>
        <v>6</v>
      </c>
      <c r="U48" s="770"/>
      <c r="II48" s="768"/>
    </row>
    <row r="49" spans="1:242" s="768" customFormat="1" outlineLevel="1" x14ac:dyDescent="0.25">
      <c r="A49" s="765"/>
      <c r="B49" s="771" t="s">
        <v>183</v>
      </c>
      <c r="C49" s="742">
        <f t="shared" si="31"/>
        <v>7</v>
      </c>
      <c r="D49" s="742"/>
      <c r="E49" s="742">
        <v>7</v>
      </c>
      <c r="F49" s="742">
        <v>1.7</v>
      </c>
      <c r="G49" s="742">
        <v>1.5</v>
      </c>
      <c r="H49" s="462">
        <f t="shared" si="32"/>
        <v>2.5499999999999998</v>
      </c>
      <c r="I49" s="462">
        <f t="shared" si="33"/>
        <v>17.849999999999998</v>
      </c>
      <c r="J49" s="578">
        <f t="shared" si="40"/>
        <v>0</v>
      </c>
      <c r="K49" s="462">
        <f t="shared" si="41"/>
        <v>44.800000000000004</v>
      </c>
      <c r="L49" s="462">
        <f t="shared" si="34"/>
        <v>0</v>
      </c>
      <c r="M49" s="462">
        <f t="shared" si="42"/>
        <v>6.7200000000000006</v>
      </c>
      <c r="N49" s="462">
        <f t="shared" si="43"/>
        <v>0</v>
      </c>
      <c r="O49" s="462">
        <f t="shared" si="44"/>
        <v>0</v>
      </c>
      <c r="P49" s="462">
        <f t="shared" si="35"/>
        <v>12.495000000000001</v>
      </c>
      <c r="Q49" s="462">
        <f t="shared" si="36"/>
        <v>32.9</v>
      </c>
      <c r="R49" s="462">
        <f t="shared" si="37"/>
        <v>32.9</v>
      </c>
      <c r="S49" s="462">
        <f t="shared" si="38"/>
        <v>11.9</v>
      </c>
      <c r="T49" s="462">
        <f t="shared" si="39"/>
        <v>11.9</v>
      </c>
      <c r="U49" s="77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  <c r="CH49" s="140"/>
      <c r="CI49" s="140"/>
      <c r="CJ49" s="140"/>
      <c r="CK49" s="140"/>
      <c r="CL49" s="140"/>
      <c r="CM49" s="140"/>
      <c r="CN49" s="140"/>
      <c r="CO49" s="140"/>
      <c r="CP49" s="140"/>
      <c r="CQ49" s="140"/>
      <c r="CR49" s="140"/>
      <c r="CS49" s="140"/>
      <c r="CT49" s="140"/>
      <c r="CU49" s="140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0"/>
      <c r="DT49" s="140"/>
      <c r="DU49" s="140"/>
      <c r="DV49" s="140"/>
      <c r="DW49" s="140"/>
      <c r="DX49" s="140"/>
      <c r="DY49" s="140"/>
      <c r="DZ49" s="140"/>
      <c r="EA49" s="140"/>
      <c r="EB49" s="140"/>
      <c r="EC49" s="140"/>
      <c r="ED49" s="140"/>
      <c r="EE49" s="140"/>
      <c r="EF49" s="140"/>
      <c r="EG49" s="140"/>
      <c r="EH49" s="140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0"/>
      <c r="FS49" s="140"/>
      <c r="FT49" s="140"/>
      <c r="FU49" s="140"/>
      <c r="FV49" s="140"/>
      <c r="FW49" s="140"/>
      <c r="FX49" s="140"/>
      <c r="FY49" s="140"/>
      <c r="FZ49" s="140"/>
      <c r="GA49" s="140"/>
      <c r="GB49" s="140"/>
      <c r="GC49" s="140"/>
      <c r="GD49" s="140"/>
      <c r="GE49" s="140"/>
      <c r="GF49" s="140"/>
      <c r="GG49" s="140"/>
      <c r="GH49" s="140"/>
      <c r="GI49" s="140"/>
      <c r="GJ49" s="140"/>
      <c r="GK49" s="140"/>
      <c r="GL49" s="140"/>
      <c r="GM49" s="140"/>
      <c r="GN49" s="140"/>
      <c r="GO49" s="140"/>
      <c r="GP49" s="140"/>
      <c r="GQ49" s="140"/>
      <c r="GR49" s="140"/>
      <c r="GS49" s="140"/>
      <c r="GT49" s="140"/>
      <c r="GU49" s="140"/>
      <c r="GV49" s="140"/>
      <c r="GW49" s="140"/>
      <c r="GX49" s="140"/>
      <c r="GY49" s="140"/>
      <c r="GZ49" s="140"/>
      <c r="HA49" s="140"/>
      <c r="HB49" s="140"/>
      <c r="HC49" s="140"/>
      <c r="HD49" s="140"/>
      <c r="HE49" s="140"/>
      <c r="HF49" s="140"/>
      <c r="HG49" s="140"/>
      <c r="HH49" s="140"/>
      <c r="HI49" s="140"/>
      <c r="HJ49" s="140"/>
      <c r="HK49" s="140"/>
      <c r="HL49" s="140"/>
      <c r="HM49" s="140"/>
      <c r="HN49" s="140"/>
      <c r="HO49" s="140"/>
      <c r="HP49" s="140"/>
      <c r="HQ49" s="140"/>
      <c r="HR49" s="140"/>
      <c r="HS49" s="140"/>
      <c r="HT49" s="140"/>
      <c r="HU49" s="140"/>
      <c r="HV49" s="140"/>
      <c r="HW49" s="140"/>
      <c r="HX49" s="140"/>
      <c r="HY49" s="140"/>
      <c r="HZ49" s="140"/>
      <c r="IA49" s="140"/>
      <c r="IB49" s="140"/>
      <c r="IC49" s="140"/>
      <c r="ID49" s="140"/>
      <c r="IE49" s="140"/>
      <c r="IF49" s="140"/>
      <c r="IG49" s="140"/>
      <c r="IH49" s="140"/>
    </row>
    <row r="50" spans="1:242" s="768" customFormat="1" outlineLevel="1" x14ac:dyDescent="0.25">
      <c r="A50" s="765"/>
      <c r="B50" s="771" t="s">
        <v>63</v>
      </c>
      <c r="C50" s="742">
        <f t="shared" si="31"/>
        <v>0</v>
      </c>
      <c r="D50" s="742">
        <v>3</v>
      </c>
      <c r="E50" s="742">
        <f>D50</f>
        <v>3</v>
      </c>
      <c r="F50" s="742">
        <v>1.7</v>
      </c>
      <c r="G50" s="742">
        <v>1.5</v>
      </c>
      <c r="H50" s="462">
        <f t="shared" si="32"/>
        <v>2.5499999999999998</v>
      </c>
      <c r="I50" s="462">
        <f t="shared" si="33"/>
        <v>0</v>
      </c>
      <c r="J50" s="578">
        <f t="shared" si="40"/>
        <v>7.6499999999999995</v>
      </c>
      <c r="K50" s="462">
        <f t="shared" si="41"/>
        <v>19.200000000000003</v>
      </c>
      <c r="L50" s="462">
        <f t="shared" si="34"/>
        <v>19.200000000000003</v>
      </c>
      <c r="M50" s="462">
        <f t="shared" si="42"/>
        <v>2.8800000000000003</v>
      </c>
      <c r="N50" s="462">
        <f t="shared" si="43"/>
        <v>1.9200000000000004</v>
      </c>
      <c r="O50" s="462">
        <f t="shared" si="44"/>
        <v>5.0999999999999996</v>
      </c>
      <c r="P50" s="462">
        <f t="shared" si="35"/>
        <v>5.3549999999999995</v>
      </c>
      <c r="Q50" s="462">
        <f t="shared" si="36"/>
        <v>14.100000000000001</v>
      </c>
      <c r="R50" s="462">
        <f t="shared" si="37"/>
        <v>14.100000000000001</v>
      </c>
      <c r="S50" s="462">
        <f t="shared" si="38"/>
        <v>5.0999999999999996</v>
      </c>
      <c r="T50" s="462">
        <f t="shared" si="39"/>
        <v>5.0999999999999996</v>
      </c>
      <c r="U50" s="77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  <c r="CH50" s="140"/>
      <c r="CI50" s="140"/>
      <c r="CJ50" s="140"/>
      <c r="CK50" s="140"/>
      <c r="CL50" s="140"/>
      <c r="CM50" s="140"/>
      <c r="CN50" s="140"/>
      <c r="CO50" s="140"/>
      <c r="CP50" s="140"/>
      <c r="CQ50" s="140"/>
      <c r="CR50" s="140"/>
      <c r="CS50" s="140"/>
      <c r="CT50" s="140"/>
      <c r="CU50" s="140"/>
      <c r="CV50" s="140"/>
      <c r="CW50" s="140"/>
      <c r="CX50" s="140"/>
      <c r="CY50" s="140"/>
      <c r="CZ50" s="140"/>
      <c r="DA50" s="140"/>
      <c r="DB50" s="140"/>
      <c r="DC50" s="140"/>
      <c r="DD50" s="140"/>
      <c r="DE50" s="140"/>
      <c r="DF50" s="140"/>
      <c r="DG50" s="140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140"/>
      <c r="DS50" s="140"/>
      <c r="DT50" s="140"/>
      <c r="DU50" s="140"/>
      <c r="DV50" s="140"/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  <c r="HP50" s="140"/>
      <c r="HQ50" s="140"/>
      <c r="HR50" s="140"/>
      <c r="HS50" s="140"/>
      <c r="HT50" s="140"/>
      <c r="HU50" s="140"/>
      <c r="HV50" s="140"/>
      <c r="HW50" s="140"/>
      <c r="HX50" s="140"/>
      <c r="HY50" s="140"/>
      <c r="HZ50" s="140"/>
      <c r="IA50" s="140"/>
      <c r="IB50" s="140"/>
      <c r="IC50" s="140"/>
      <c r="ID50" s="140"/>
      <c r="IE50" s="140"/>
      <c r="IF50" s="140"/>
      <c r="IG50" s="140"/>
      <c r="IH50" s="140"/>
    </row>
    <row r="51" spans="1:242" s="768" customFormat="1" outlineLevel="1" x14ac:dyDescent="0.25">
      <c r="A51" s="765"/>
      <c r="B51" s="771" t="s">
        <v>66</v>
      </c>
      <c r="C51" s="742">
        <f t="shared" si="31"/>
        <v>12</v>
      </c>
      <c r="D51" s="742"/>
      <c r="E51" s="742">
        <v>12</v>
      </c>
      <c r="F51" s="742">
        <v>1.8</v>
      </c>
      <c r="G51" s="742">
        <v>1.5</v>
      </c>
      <c r="H51" s="462">
        <f t="shared" si="32"/>
        <v>2.7</v>
      </c>
      <c r="I51" s="462">
        <f t="shared" si="33"/>
        <v>32.400000000000006</v>
      </c>
      <c r="J51" s="578">
        <f t="shared" si="40"/>
        <v>0</v>
      </c>
      <c r="K51" s="462">
        <f t="shared" si="41"/>
        <v>79.199999999999989</v>
      </c>
      <c r="L51" s="462">
        <f t="shared" si="34"/>
        <v>0</v>
      </c>
      <c r="M51" s="462">
        <f t="shared" si="42"/>
        <v>11.879999999999997</v>
      </c>
      <c r="N51" s="462">
        <f t="shared" si="43"/>
        <v>0</v>
      </c>
      <c r="O51" s="462">
        <f t="shared" si="44"/>
        <v>0</v>
      </c>
      <c r="P51" s="462">
        <f t="shared" si="35"/>
        <v>22.680000000000003</v>
      </c>
      <c r="Q51" s="462">
        <f t="shared" si="36"/>
        <v>57.599999999999994</v>
      </c>
      <c r="R51" s="462">
        <f t="shared" si="37"/>
        <v>57.599999999999994</v>
      </c>
      <c r="S51" s="462">
        <f t="shared" si="38"/>
        <v>21.6</v>
      </c>
      <c r="T51" s="462">
        <f t="shared" si="39"/>
        <v>21.6</v>
      </c>
      <c r="U51" s="77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0"/>
      <c r="DT51" s="140"/>
      <c r="DU51" s="140"/>
      <c r="DV51" s="140"/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  <c r="HP51" s="140"/>
      <c r="HQ51" s="140"/>
      <c r="HR51" s="140"/>
      <c r="HS51" s="140"/>
      <c r="HT51" s="140"/>
      <c r="HU51" s="140"/>
      <c r="HV51" s="140"/>
      <c r="HW51" s="140"/>
      <c r="HX51" s="140"/>
      <c r="HY51" s="140"/>
      <c r="HZ51" s="140"/>
      <c r="IA51" s="140"/>
      <c r="IB51" s="140"/>
      <c r="IC51" s="140"/>
      <c r="ID51" s="140"/>
      <c r="IE51" s="140"/>
      <c r="IF51" s="140"/>
      <c r="IG51" s="140"/>
      <c r="IH51" s="140"/>
    </row>
    <row r="52" spans="1:242" s="768" customFormat="1" outlineLevel="1" x14ac:dyDescent="0.25">
      <c r="A52" s="765"/>
      <c r="B52" s="771" t="s">
        <v>185</v>
      </c>
      <c r="C52" s="742">
        <f t="shared" si="31"/>
        <v>0</v>
      </c>
      <c r="D52" s="742">
        <v>6</v>
      </c>
      <c r="E52" s="742">
        <f>D52</f>
        <v>6</v>
      </c>
      <c r="F52" s="742">
        <v>1.8</v>
      </c>
      <c r="G52" s="742">
        <v>1.5</v>
      </c>
      <c r="H52" s="462">
        <f t="shared" si="32"/>
        <v>2.7</v>
      </c>
      <c r="I52" s="462">
        <f t="shared" si="33"/>
        <v>0</v>
      </c>
      <c r="J52" s="578">
        <f t="shared" si="40"/>
        <v>16.200000000000003</v>
      </c>
      <c r="K52" s="462">
        <f t="shared" si="41"/>
        <v>39.599999999999994</v>
      </c>
      <c r="L52" s="462">
        <f t="shared" si="34"/>
        <v>39.599999999999994</v>
      </c>
      <c r="M52" s="462">
        <f t="shared" si="42"/>
        <v>5.9399999999999986</v>
      </c>
      <c r="N52" s="462">
        <f t="shared" si="43"/>
        <v>3.9599999999999995</v>
      </c>
      <c r="O52" s="462">
        <f t="shared" si="44"/>
        <v>10.8</v>
      </c>
      <c r="P52" s="462">
        <f t="shared" si="35"/>
        <v>11.340000000000002</v>
      </c>
      <c r="Q52" s="462">
        <f t="shared" si="36"/>
        <v>28.799999999999997</v>
      </c>
      <c r="R52" s="462">
        <f t="shared" si="37"/>
        <v>28.799999999999997</v>
      </c>
      <c r="S52" s="462">
        <f t="shared" si="38"/>
        <v>10.8</v>
      </c>
      <c r="T52" s="462">
        <f t="shared" si="39"/>
        <v>10.8</v>
      </c>
      <c r="U52" s="77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0"/>
      <c r="DT52" s="140"/>
      <c r="DU52" s="140"/>
      <c r="DV52" s="140"/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  <c r="HP52" s="140"/>
      <c r="HQ52" s="140"/>
      <c r="HR52" s="140"/>
      <c r="HS52" s="140"/>
      <c r="HT52" s="140"/>
      <c r="HU52" s="140"/>
      <c r="HV52" s="140"/>
      <c r="HW52" s="140"/>
      <c r="HX52" s="140"/>
      <c r="HY52" s="140"/>
      <c r="HZ52" s="140"/>
      <c r="IA52" s="140"/>
      <c r="IB52" s="140"/>
      <c r="IC52" s="140"/>
      <c r="ID52" s="140"/>
      <c r="IE52" s="140"/>
      <c r="IF52" s="140"/>
      <c r="IG52" s="140"/>
      <c r="IH52" s="140"/>
    </row>
    <row r="53" spans="1:242" s="768" customFormat="1" outlineLevel="1" x14ac:dyDescent="0.25">
      <c r="A53" s="765"/>
      <c r="B53" s="771" t="s">
        <v>186</v>
      </c>
      <c r="C53" s="742">
        <f t="shared" si="31"/>
        <v>1</v>
      </c>
      <c r="D53" s="742"/>
      <c r="E53" s="742">
        <v>1</v>
      </c>
      <c r="F53" s="742">
        <v>2.5</v>
      </c>
      <c r="G53" s="742">
        <v>1.5</v>
      </c>
      <c r="H53" s="462">
        <f t="shared" si="32"/>
        <v>3.75</v>
      </c>
      <c r="I53" s="462">
        <f t="shared" si="33"/>
        <v>3.75</v>
      </c>
      <c r="J53" s="578">
        <f t="shared" si="40"/>
        <v>0</v>
      </c>
      <c r="K53" s="462">
        <f t="shared" si="41"/>
        <v>8</v>
      </c>
      <c r="L53" s="462">
        <f t="shared" si="34"/>
        <v>0</v>
      </c>
      <c r="M53" s="462">
        <f t="shared" si="42"/>
        <v>1.2</v>
      </c>
      <c r="N53" s="462">
        <f t="shared" si="43"/>
        <v>0</v>
      </c>
      <c r="O53" s="462">
        <f t="shared" si="44"/>
        <v>0</v>
      </c>
      <c r="P53" s="462">
        <f t="shared" si="35"/>
        <v>2.625</v>
      </c>
      <c r="Q53" s="462">
        <f t="shared" si="36"/>
        <v>5.5</v>
      </c>
      <c r="R53" s="462">
        <f t="shared" si="37"/>
        <v>5.5</v>
      </c>
      <c r="S53" s="462">
        <f t="shared" si="38"/>
        <v>2.5</v>
      </c>
      <c r="T53" s="462">
        <f t="shared" si="39"/>
        <v>2.5</v>
      </c>
      <c r="U53" s="77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140"/>
      <c r="CK53" s="140"/>
      <c r="CL53" s="140"/>
      <c r="CM53" s="140"/>
      <c r="CN53" s="140"/>
      <c r="CO53" s="140"/>
      <c r="CP53" s="140"/>
      <c r="CQ53" s="140"/>
      <c r="CR53" s="140"/>
      <c r="CS53" s="140"/>
      <c r="CT53" s="140"/>
      <c r="CU53" s="140"/>
      <c r="CV53" s="140"/>
      <c r="CW53" s="140"/>
      <c r="CX53" s="140"/>
      <c r="CY53" s="140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140"/>
      <c r="DS53" s="140"/>
      <c r="DT53" s="140"/>
      <c r="DU53" s="140"/>
      <c r="DV53" s="140"/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  <c r="HP53" s="140"/>
      <c r="HQ53" s="140"/>
      <c r="HR53" s="140"/>
      <c r="HS53" s="140"/>
      <c r="HT53" s="140"/>
      <c r="HU53" s="140"/>
      <c r="HV53" s="140"/>
      <c r="HW53" s="140"/>
      <c r="HX53" s="140"/>
      <c r="HY53" s="140"/>
      <c r="HZ53" s="140"/>
      <c r="IA53" s="140"/>
      <c r="IB53" s="140"/>
      <c r="IC53" s="140"/>
      <c r="ID53" s="140"/>
      <c r="IE53" s="140"/>
      <c r="IF53" s="140"/>
      <c r="IG53" s="140"/>
      <c r="IH53" s="140"/>
    </row>
    <row r="54" spans="1:242" s="768" customFormat="1" outlineLevel="1" x14ac:dyDescent="0.25">
      <c r="A54" s="765"/>
      <c r="B54" s="771" t="s">
        <v>522</v>
      </c>
      <c r="C54" s="742">
        <f t="shared" si="31"/>
        <v>0</v>
      </c>
      <c r="D54" s="742">
        <v>1</v>
      </c>
      <c r="E54" s="742">
        <f>D54</f>
        <v>1</v>
      </c>
      <c r="F54" s="742">
        <v>2.5</v>
      </c>
      <c r="G54" s="742">
        <v>1.5</v>
      </c>
      <c r="H54" s="462">
        <f>F54*G54</f>
        <v>3.75</v>
      </c>
      <c r="I54" s="462">
        <f>H54*C54</f>
        <v>0</v>
      </c>
      <c r="J54" s="578">
        <f>H54*D54</f>
        <v>3.75</v>
      </c>
      <c r="K54" s="462">
        <f>(F54*2+G54*2)*E54</f>
        <v>8</v>
      </c>
      <c r="L54" s="462">
        <f>(F54*2+G54*2)*D54</f>
        <v>8</v>
      </c>
      <c r="M54" s="462">
        <f t="shared" si="42"/>
        <v>1.2</v>
      </c>
      <c r="N54" s="462">
        <f t="shared" si="43"/>
        <v>0.8</v>
      </c>
      <c r="O54" s="462">
        <f>F54*D54</f>
        <v>2.5</v>
      </c>
      <c r="P54" s="462">
        <f>E54*F54*1.05</f>
        <v>2.625</v>
      </c>
      <c r="Q54" s="462">
        <f>E54*(F54+2*G54)</f>
        <v>5.5</v>
      </c>
      <c r="R54" s="462">
        <f>Q54</f>
        <v>5.5</v>
      </c>
      <c r="S54" s="462">
        <f>E54*F54</f>
        <v>2.5</v>
      </c>
      <c r="T54" s="462">
        <f>S54</f>
        <v>2.5</v>
      </c>
      <c r="U54" s="77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140"/>
      <c r="CV54" s="140"/>
      <c r="CW54" s="140"/>
      <c r="CX54" s="140"/>
      <c r="CY54" s="140"/>
      <c r="CZ54" s="140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140"/>
      <c r="DS54" s="140"/>
      <c r="DT54" s="140"/>
      <c r="DU54" s="140"/>
      <c r="DV54" s="140"/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  <c r="HP54" s="140"/>
      <c r="HQ54" s="140"/>
      <c r="HR54" s="140"/>
      <c r="HS54" s="140"/>
      <c r="HT54" s="140"/>
      <c r="HU54" s="140"/>
      <c r="HV54" s="140"/>
      <c r="HW54" s="140"/>
      <c r="HX54" s="140"/>
      <c r="HY54" s="140"/>
      <c r="HZ54" s="140"/>
      <c r="IA54" s="140"/>
      <c r="IB54" s="140"/>
      <c r="IC54" s="140"/>
      <c r="ID54" s="140"/>
      <c r="IE54" s="140"/>
      <c r="IF54" s="140"/>
      <c r="IG54" s="140"/>
      <c r="IH54" s="140"/>
    </row>
    <row r="55" spans="1:242" s="768" customFormat="1" outlineLevel="1" x14ac:dyDescent="0.25">
      <c r="A55" s="765"/>
      <c r="B55" s="771" t="s">
        <v>523</v>
      </c>
      <c r="C55" s="742">
        <f t="shared" si="31"/>
        <v>16</v>
      </c>
      <c r="D55" s="742"/>
      <c r="E55" s="742">
        <v>16</v>
      </c>
      <c r="F55" s="742">
        <v>1.7</v>
      </c>
      <c r="G55" s="742">
        <v>0.56999999999999995</v>
      </c>
      <c r="H55" s="462">
        <f>F55*G55</f>
        <v>0.96899999999999986</v>
      </c>
      <c r="I55" s="462">
        <f>H55*C55</f>
        <v>15.503999999999998</v>
      </c>
      <c r="J55" s="578">
        <f>H55*D55</f>
        <v>0</v>
      </c>
      <c r="K55" s="462">
        <f>(F55*2+G55*2)*E55</f>
        <v>72.64</v>
      </c>
      <c r="L55" s="462">
        <f>(F55*2+G55*2)*D55</f>
        <v>0</v>
      </c>
      <c r="M55" s="462">
        <f t="shared" si="42"/>
        <v>10.895999999999999</v>
      </c>
      <c r="N55" s="462">
        <f t="shared" si="43"/>
        <v>0</v>
      </c>
      <c r="O55" s="462">
        <f>F55*D55</f>
        <v>0</v>
      </c>
      <c r="P55" s="462">
        <f>E55*F55*1.05</f>
        <v>28.56</v>
      </c>
      <c r="Q55" s="462">
        <f>E55*(F55+2*G55)</f>
        <v>45.44</v>
      </c>
      <c r="R55" s="462">
        <f>Q55</f>
        <v>45.44</v>
      </c>
      <c r="S55" s="462">
        <f>E55*F55</f>
        <v>27.2</v>
      </c>
      <c r="T55" s="462">
        <f>S55</f>
        <v>27.2</v>
      </c>
      <c r="U55" s="77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0"/>
      <c r="CR55" s="140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0"/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  <c r="HP55" s="140"/>
      <c r="HQ55" s="140"/>
      <c r="HR55" s="140"/>
      <c r="HS55" s="140"/>
      <c r="HT55" s="140"/>
      <c r="HU55" s="140"/>
      <c r="HV55" s="140"/>
      <c r="HW55" s="140"/>
      <c r="HX55" s="140"/>
      <c r="HY55" s="140"/>
      <c r="HZ55" s="140"/>
      <c r="IA55" s="140"/>
      <c r="IB55" s="140"/>
      <c r="IC55" s="140"/>
      <c r="ID55" s="140"/>
      <c r="IE55" s="140"/>
      <c r="IF55" s="140"/>
      <c r="IG55" s="140"/>
      <c r="IH55" s="140"/>
    </row>
    <row r="56" spans="1:242" s="768" customFormat="1" outlineLevel="1" x14ac:dyDescent="0.25">
      <c r="A56" s="765"/>
      <c r="B56" s="771" t="s">
        <v>524</v>
      </c>
      <c r="C56" s="742">
        <f t="shared" si="31"/>
        <v>2</v>
      </c>
      <c r="D56" s="742">
        <v>0</v>
      </c>
      <c r="E56" s="742">
        <v>2</v>
      </c>
      <c r="F56" s="742">
        <v>2.1</v>
      </c>
      <c r="G56" s="742">
        <v>0.8</v>
      </c>
      <c r="H56" s="462">
        <f>F56*G56</f>
        <v>1.6800000000000002</v>
      </c>
      <c r="I56" s="462">
        <f>H56*C56</f>
        <v>3.3600000000000003</v>
      </c>
      <c r="J56" s="578">
        <f>H56*D56</f>
        <v>0</v>
      </c>
      <c r="K56" s="462">
        <f>(F56*2+G56*2)*E56</f>
        <v>11.600000000000001</v>
      </c>
      <c r="L56" s="462">
        <f>(F56*2+G56*2)*D56</f>
        <v>0</v>
      </c>
      <c r="M56" s="462">
        <f t="shared" si="42"/>
        <v>1.7400000000000002</v>
      </c>
      <c r="N56" s="462">
        <f t="shared" si="43"/>
        <v>0</v>
      </c>
      <c r="O56" s="462">
        <f>F56*D56</f>
        <v>0</v>
      </c>
      <c r="P56" s="462">
        <f>E56*F56*1.05</f>
        <v>4.41</v>
      </c>
      <c r="Q56" s="462">
        <f>E56*(F56+2*G56)</f>
        <v>7.4</v>
      </c>
      <c r="R56" s="462">
        <f>Q56</f>
        <v>7.4</v>
      </c>
      <c r="S56" s="462">
        <f>E56*F56</f>
        <v>4.2</v>
      </c>
      <c r="T56" s="462">
        <f>S56</f>
        <v>4.2</v>
      </c>
      <c r="U56" s="77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  <c r="DD56" s="140"/>
      <c r="DE56" s="140"/>
      <c r="DF56" s="140"/>
      <c r="DG56" s="140"/>
      <c r="DH56" s="140"/>
      <c r="DI56" s="140"/>
      <c r="DJ56" s="140"/>
      <c r="DK56" s="140"/>
      <c r="DL56" s="140"/>
      <c r="DM56" s="140"/>
      <c r="DN56" s="140"/>
      <c r="DO56" s="140"/>
      <c r="DP56" s="140"/>
      <c r="DQ56" s="140"/>
      <c r="DR56" s="140"/>
      <c r="DS56" s="140"/>
      <c r="DT56" s="140"/>
      <c r="DU56" s="140"/>
      <c r="DV56" s="140"/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  <c r="HP56" s="140"/>
      <c r="HQ56" s="140"/>
      <c r="HR56" s="140"/>
      <c r="HS56" s="140"/>
      <c r="HT56" s="140"/>
      <c r="HU56" s="140"/>
      <c r="HV56" s="140"/>
      <c r="HW56" s="140"/>
      <c r="HX56" s="140"/>
      <c r="HY56" s="140"/>
      <c r="HZ56" s="140"/>
      <c r="IA56" s="140"/>
      <c r="IB56" s="140"/>
      <c r="IC56" s="140"/>
      <c r="ID56" s="140"/>
      <c r="IE56" s="140"/>
      <c r="IF56" s="140"/>
      <c r="IG56" s="140"/>
      <c r="IH56" s="140"/>
    </row>
    <row r="57" spans="1:242" s="768" customFormat="1" outlineLevel="1" x14ac:dyDescent="0.25">
      <c r="A57" s="765"/>
      <c r="B57" s="769" t="s">
        <v>531</v>
      </c>
      <c r="C57" s="742"/>
      <c r="D57" s="742"/>
      <c r="E57" s="772">
        <f>SUM(E45:E56)</f>
        <v>106</v>
      </c>
      <c r="F57" s="773"/>
      <c r="G57" s="773"/>
      <c r="H57" s="774"/>
      <c r="I57" s="772">
        <f>SUM(I45:I56)</f>
        <v>135.26400000000001</v>
      </c>
      <c r="J57" s="772">
        <f t="shared" ref="J57:T57" si="45">SUM(J45:J56)</f>
        <v>63.6</v>
      </c>
      <c r="K57" s="772">
        <f t="shared" si="45"/>
        <v>588.24</v>
      </c>
      <c r="L57" s="772">
        <f t="shared" si="45"/>
        <v>177.79999999999998</v>
      </c>
      <c r="M57" s="772">
        <f t="shared" si="45"/>
        <v>88.236000000000004</v>
      </c>
      <c r="N57" s="772">
        <f t="shared" si="45"/>
        <v>17.78</v>
      </c>
      <c r="O57" s="772">
        <f t="shared" si="45"/>
        <v>42.400000000000006</v>
      </c>
      <c r="P57" s="772">
        <f t="shared" si="45"/>
        <v>158.97000000000003</v>
      </c>
      <c r="Q57" s="772">
        <f t="shared" si="45"/>
        <v>436.84000000000003</v>
      </c>
      <c r="R57" s="772">
        <f t="shared" si="45"/>
        <v>436.84000000000003</v>
      </c>
      <c r="S57" s="772">
        <f t="shared" si="45"/>
        <v>151.39999999999998</v>
      </c>
      <c r="T57" s="772">
        <f t="shared" si="45"/>
        <v>151.39999999999998</v>
      </c>
      <c r="U57" s="775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  <c r="HP57" s="140"/>
      <c r="HQ57" s="140"/>
      <c r="HR57" s="140"/>
      <c r="HS57" s="140"/>
      <c r="HT57" s="140"/>
      <c r="HU57" s="140"/>
      <c r="HV57" s="140"/>
      <c r="HW57" s="140"/>
      <c r="HX57" s="140"/>
      <c r="HY57" s="140"/>
      <c r="HZ57" s="140"/>
      <c r="IA57" s="140"/>
      <c r="IB57" s="140"/>
      <c r="IC57" s="140"/>
      <c r="ID57" s="140"/>
      <c r="IE57" s="140"/>
      <c r="IF57" s="140"/>
      <c r="IG57" s="140"/>
      <c r="IH57" s="140"/>
    </row>
    <row r="58" spans="1:242" s="768" customFormat="1" outlineLevel="1" x14ac:dyDescent="0.25">
      <c r="A58" s="765"/>
      <c r="B58" s="771" t="s">
        <v>532</v>
      </c>
      <c r="C58" s="742"/>
      <c r="D58" s="742">
        <v>12</v>
      </c>
      <c r="E58" s="742">
        <f>D58</f>
        <v>12</v>
      </c>
      <c r="F58" s="742">
        <v>3.04</v>
      </c>
      <c r="G58" s="742">
        <v>1.45</v>
      </c>
      <c r="H58" s="462">
        <f>F58*G58</f>
        <v>4.4079999999999995</v>
      </c>
      <c r="I58" s="462">
        <f>H58*C58</f>
        <v>0</v>
      </c>
      <c r="J58" s="578">
        <f>H58*D58</f>
        <v>52.895999999999994</v>
      </c>
      <c r="K58" s="462">
        <f>(F58*2+G58*2)*E58</f>
        <v>107.76</v>
      </c>
      <c r="L58" s="462">
        <f>(F58*2+G58*2)*D58</f>
        <v>107.76</v>
      </c>
      <c r="M58" s="462">
        <f>K58*$M$3</f>
        <v>16.164000000000001</v>
      </c>
      <c r="N58" s="462">
        <f>L58*$N$3</f>
        <v>10.776000000000002</v>
      </c>
      <c r="O58" s="462">
        <f>F58*D58</f>
        <v>36.480000000000004</v>
      </c>
      <c r="P58" s="462">
        <f>E58*F58*1.05</f>
        <v>38.304000000000009</v>
      </c>
      <c r="Q58" s="462">
        <f>E58*(F58+2*G58)</f>
        <v>71.28</v>
      </c>
      <c r="R58" s="462">
        <f>Q58</f>
        <v>71.28</v>
      </c>
      <c r="S58" s="462">
        <f>E58*F58</f>
        <v>36.480000000000004</v>
      </c>
      <c r="T58" s="462">
        <f>S58</f>
        <v>36.480000000000004</v>
      </c>
      <c r="U58" s="77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40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0"/>
      <c r="DT58" s="140"/>
      <c r="DU58" s="140"/>
      <c r="DV58" s="140"/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  <c r="HP58" s="140"/>
      <c r="HQ58" s="140"/>
      <c r="HR58" s="140"/>
      <c r="HS58" s="140"/>
      <c r="HT58" s="140"/>
      <c r="HU58" s="140"/>
      <c r="HV58" s="140"/>
      <c r="HW58" s="140"/>
      <c r="HX58" s="140"/>
      <c r="HY58" s="140"/>
      <c r="HZ58" s="140"/>
      <c r="IA58" s="140"/>
      <c r="IB58" s="140"/>
      <c r="IC58" s="140"/>
      <c r="ID58" s="140"/>
      <c r="IE58" s="140"/>
      <c r="IF58" s="140"/>
      <c r="IG58" s="140"/>
      <c r="IH58" s="140"/>
    </row>
    <row r="59" spans="1:242" s="768" customFormat="1" outlineLevel="1" x14ac:dyDescent="0.25">
      <c r="A59" s="765"/>
      <c r="B59" s="771" t="s">
        <v>555</v>
      </c>
      <c r="C59" s="742">
        <f t="shared" ref="C59" si="46">E59-D59</f>
        <v>6</v>
      </c>
      <c r="D59" s="742"/>
      <c r="E59" s="742">
        <v>6</v>
      </c>
      <c r="F59" s="742">
        <f>F58</f>
        <v>3.04</v>
      </c>
      <c r="G59" s="742">
        <f>G58</f>
        <v>1.45</v>
      </c>
      <c r="H59" s="462">
        <f>F59*G59</f>
        <v>4.4079999999999995</v>
      </c>
      <c r="I59" s="462">
        <f>H59*C59</f>
        <v>26.447999999999997</v>
      </c>
      <c r="J59" s="578">
        <f>H59*D59</f>
        <v>0</v>
      </c>
      <c r="K59" s="462">
        <f>(F59*2+G59*2)*E59</f>
        <v>53.88</v>
      </c>
      <c r="L59" s="462">
        <f>(F59*2+G59*2)*D59</f>
        <v>0</v>
      </c>
      <c r="M59" s="462">
        <f>K59*$M$3</f>
        <v>8.0820000000000007</v>
      </c>
      <c r="N59" s="462">
        <f>L59*$N$3</f>
        <v>0</v>
      </c>
      <c r="O59" s="462">
        <f>P59</f>
        <v>19.152000000000005</v>
      </c>
      <c r="P59" s="462">
        <f>E59*F59*1.05</f>
        <v>19.152000000000005</v>
      </c>
      <c r="Q59" s="462">
        <f>E59*(F59+2*G59)</f>
        <v>35.64</v>
      </c>
      <c r="R59" s="462">
        <f>Q59</f>
        <v>35.64</v>
      </c>
      <c r="S59" s="462">
        <f>E59*F59</f>
        <v>18.240000000000002</v>
      </c>
      <c r="T59" s="462">
        <f>S59</f>
        <v>18.240000000000002</v>
      </c>
      <c r="U59" s="77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  <c r="DD59" s="140"/>
      <c r="DE59" s="140"/>
      <c r="DF59" s="140"/>
      <c r="DG59" s="140"/>
      <c r="DH59" s="140"/>
      <c r="DI59" s="140"/>
      <c r="DJ59" s="140"/>
      <c r="DK59" s="140"/>
      <c r="DL59" s="140"/>
      <c r="DM59" s="140"/>
      <c r="DN59" s="140"/>
      <c r="DO59" s="140"/>
      <c r="DP59" s="140"/>
      <c r="DQ59" s="140"/>
      <c r="DR59" s="140"/>
      <c r="DS59" s="140"/>
      <c r="DT59" s="140"/>
      <c r="DU59" s="140"/>
      <c r="DV59" s="140"/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  <c r="HP59" s="140"/>
      <c r="HQ59" s="140"/>
      <c r="HR59" s="140"/>
      <c r="HS59" s="140"/>
      <c r="HT59" s="140"/>
      <c r="HU59" s="140"/>
      <c r="HV59" s="140"/>
      <c r="HW59" s="140"/>
      <c r="HX59" s="140"/>
      <c r="HY59" s="140"/>
      <c r="HZ59" s="140"/>
      <c r="IA59" s="140"/>
      <c r="IB59" s="140"/>
      <c r="IC59" s="140"/>
      <c r="ID59" s="140"/>
      <c r="IE59" s="140"/>
      <c r="IF59" s="140"/>
      <c r="IG59" s="140"/>
      <c r="IH59" s="140"/>
    </row>
    <row r="60" spans="1:242" s="768" customFormat="1" outlineLevel="1" x14ac:dyDescent="0.25">
      <c r="A60" s="765"/>
      <c r="B60" s="771" t="s">
        <v>533</v>
      </c>
      <c r="C60" s="742"/>
      <c r="D60" s="742">
        <v>22</v>
      </c>
      <c r="E60" s="742">
        <f>D60</f>
        <v>22</v>
      </c>
      <c r="F60" s="742">
        <v>6.24</v>
      </c>
      <c r="G60" s="742">
        <f>G59</f>
        <v>1.45</v>
      </c>
      <c r="H60" s="462">
        <f>F60*G60</f>
        <v>9.048</v>
      </c>
      <c r="I60" s="462">
        <f>H60*C60</f>
        <v>0</v>
      </c>
      <c r="J60" s="578">
        <f>H60*D60</f>
        <v>199.05600000000001</v>
      </c>
      <c r="K60" s="462">
        <f>(F60*2+G60*2)*E60</f>
        <v>338.36</v>
      </c>
      <c r="L60" s="462">
        <f>(F60*2+G60*2)*D60</f>
        <v>338.36</v>
      </c>
      <c r="M60" s="462">
        <f>K60*$M$3</f>
        <v>50.753999999999998</v>
      </c>
      <c r="N60" s="462">
        <f>L60*$N$3</f>
        <v>33.836000000000006</v>
      </c>
      <c r="O60" s="462">
        <f>F60*D60</f>
        <v>137.28</v>
      </c>
      <c r="P60" s="462">
        <f>E60*F60*1.05</f>
        <v>144.14400000000001</v>
      </c>
      <c r="Q60" s="462">
        <f>E60*(F60+2*G60)</f>
        <v>201.08</v>
      </c>
      <c r="R60" s="462">
        <f>Q60</f>
        <v>201.08</v>
      </c>
      <c r="S60" s="462">
        <f>E60*F60</f>
        <v>137.28</v>
      </c>
      <c r="T60" s="462">
        <f>S60</f>
        <v>137.28</v>
      </c>
      <c r="U60" s="77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  <c r="DD60" s="140"/>
      <c r="DE60" s="140"/>
      <c r="DF60" s="140"/>
      <c r="DG60" s="140"/>
      <c r="DH60" s="140"/>
      <c r="DI60" s="140"/>
      <c r="DJ60" s="140"/>
      <c r="DK60" s="140"/>
      <c r="DL60" s="140"/>
      <c r="DM60" s="140"/>
      <c r="DN60" s="140"/>
      <c r="DO60" s="140"/>
      <c r="DP60" s="140"/>
      <c r="DQ60" s="140"/>
      <c r="DR60" s="140"/>
      <c r="DS60" s="140"/>
      <c r="DT60" s="140"/>
      <c r="DU60" s="140"/>
      <c r="DV60" s="140"/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  <c r="HP60" s="140"/>
      <c r="HQ60" s="140"/>
      <c r="HR60" s="140"/>
      <c r="HS60" s="140"/>
      <c r="HT60" s="140"/>
      <c r="HU60" s="140"/>
      <c r="HV60" s="140"/>
      <c r="HW60" s="140"/>
      <c r="HX60" s="140"/>
      <c r="HY60" s="140"/>
      <c r="HZ60" s="140"/>
      <c r="IA60" s="140"/>
      <c r="IB60" s="140"/>
      <c r="IC60" s="140"/>
      <c r="ID60" s="140"/>
      <c r="IE60" s="140"/>
      <c r="IF60" s="140"/>
      <c r="IG60" s="140"/>
      <c r="IH60" s="140"/>
    </row>
    <row r="61" spans="1:242" s="768" customFormat="1" outlineLevel="1" x14ac:dyDescent="0.25">
      <c r="A61" s="765"/>
      <c r="B61" s="771" t="s">
        <v>556</v>
      </c>
      <c r="C61" s="742">
        <f t="shared" ref="C61" si="47">E61-D61</f>
        <v>6</v>
      </c>
      <c r="D61" s="742"/>
      <c r="E61" s="742">
        <v>6</v>
      </c>
      <c r="F61" s="742">
        <f>F60</f>
        <v>6.24</v>
      </c>
      <c r="G61" s="742">
        <f>G60</f>
        <v>1.45</v>
      </c>
      <c r="H61" s="462">
        <f>F61*G61</f>
        <v>9.048</v>
      </c>
      <c r="I61" s="462">
        <f>H61*C61</f>
        <v>54.287999999999997</v>
      </c>
      <c r="J61" s="578">
        <f>H61*D61</f>
        <v>0</v>
      </c>
      <c r="K61" s="462">
        <f>(F61*2+G61*2)*E61</f>
        <v>92.28</v>
      </c>
      <c r="L61" s="462">
        <f>(F61*2+G61*2)*D61</f>
        <v>0</v>
      </c>
      <c r="M61" s="462">
        <f>K61*$M$3</f>
        <v>13.842000000000001</v>
      </c>
      <c r="N61" s="462">
        <f>L61*$N$3</f>
        <v>0</v>
      </c>
      <c r="O61" s="462">
        <f>P61</f>
        <v>39.311999999999998</v>
      </c>
      <c r="P61" s="462">
        <f>E61*F61*1.05</f>
        <v>39.311999999999998</v>
      </c>
      <c r="Q61" s="462">
        <f>E61*(F61+2*G61)</f>
        <v>54.84</v>
      </c>
      <c r="R61" s="462">
        <f>Q61</f>
        <v>54.84</v>
      </c>
      <c r="S61" s="462">
        <f>E61*F61</f>
        <v>37.44</v>
      </c>
      <c r="T61" s="462">
        <f>S61</f>
        <v>37.44</v>
      </c>
      <c r="U61" s="77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  <c r="DD61" s="140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0"/>
      <c r="DS61" s="140"/>
      <c r="DT61" s="140"/>
      <c r="DU61" s="140"/>
      <c r="DV61" s="140"/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  <c r="HP61" s="140"/>
      <c r="HQ61" s="140"/>
      <c r="HR61" s="140"/>
      <c r="HS61" s="140"/>
      <c r="HT61" s="140"/>
      <c r="HU61" s="140"/>
      <c r="HV61" s="140"/>
      <c r="HW61" s="140"/>
      <c r="HX61" s="140"/>
      <c r="HY61" s="140"/>
      <c r="HZ61" s="140"/>
      <c r="IA61" s="140"/>
      <c r="IB61" s="140"/>
      <c r="IC61" s="140"/>
      <c r="ID61" s="140"/>
      <c r="IE61" s="140"/>
      <c r="IF61" s="140"/>
      <c r="IG61" s="140"/>
      <c r="IH61" s="140"/>
    </row>
    <row r="62" spans="1:242" s="768" customFormat="1" outlineLevel="1" x14ac:dyDescent="0.25">
      <c r="A62" s="765"/>
      <c r="B62" s="769" t="s">
        <v>453</v>
      </c>
      <c r="C62" s="742"/>
      <c r="D62" s="742"/>
      <c r="E62" s="772">
        <f>SUM(E58:E61)</f>
        <v>46</v>
      </c>
      <c r="F62" s="773"/>
      <c r="G62" s="773"/>
      <c r="H62" s="774"/>
      <c r="I62" s="772">
        <f>SUM(I58:I61)</f>
        <v>80.73599999999999</v>
      </c>
      <c r="J62" s="772">
        <f t="shared" ref="J62:T62" si="48">SUM(J58:J61)</f>
        <v>251.952</v>
      </c>
      <c r="K62" s="772">
        <f t="shared" si="48"/>
        <v>592.28</v>
      </c>
      <c r="L62" s="772">
        <f t="shared" si="48"/>
        <v>446.12</v>
      </c>
      <c r="M62" s="772">
        <f t="shared" si="48"/>
        <v>88.841999999999999</v>
      </c>
      <c r="N62" s="772">
        <f t="shared" si="48"/>
        <v>44.612000000000009</v>
      </c>
      <c r="O62" s="772">
        <f t="shared" si="48"/>
        <v>232.22399999999999</v>
      </c>
      <c r="P62" s="772">
        <f t="shared" si="48"/>
        <v>240.91200000000003</v>
      </c>
      <c r="Q62" s="772">
        <f t="shared" si="48"/>
        <v>362.84000000000003</v>
      </c>
      <c r="R62" s="772">
        <f t="shared" si="48"/>
        <v>362.84000000000003</v>
      </c>
      <c r="S62" s="772">
        <f t="shared" si="48"/>
        <v>229.44</v>
      </c>
      <c r="T62" s="772">
        <f t="shared" si="48"/>
        <v>229.44</v>
      </c>
      <c r="U62" s="775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  <c r="HQ62" s="140"/>
      <c r="HR62" s="140"/>
      <c r="HS62" s="140"/>
      <c r="HT62" s="140"/>
      <c r="HU62" s="140"/>
      <c r="HV62" s="140"/>
      <c r="HW62" s="140"/>
      <c r="HX62" s="140"/>
      <c r="HY62" s="140"/>
      <c r="HZ62" s="140"/>
      <c r="IA62" s="140"/>
      <c r="IB62" s="140"/>
      <c r="IC62" s="140"/>
      <c r="ID62" s="140"/>
      <c r="IE62" s="140"/>
      <c r="IF62" s="140"/>
      <c r="IG62" s="140"/>
      <c r="IH62" s="140"/>
    </row>
    <row r="63" spans="1:242" s="768" customFormat="1" outlineLevel="1" x14ac:dyDescent="0.25">
      <c r="A63" s="765"/>
      <c r="B63" s="776" t="s">
        <v>2</v>
      </c>
      <c r="C63" s="742">
        <f t="shared" ref="C63:C74" si="49">E63-D63</f>
        <v>0</v>
      </c>
      <c r="D63" s="742">
        <v>2</v>
      </c>
      <c r="E63" s="742">
        <f>D63</f>
        <v>2</v>
      </c>
      <c r="F63" s="773">
        <v>1.27</v>
      </c>
      <c r="G63" s="773">
        <v>2.1</v>
      </c>
      <c r="H63" s="774">
        <f>F63*G63</f>
        <v>2.6670000000000003</v>
      </c>
      <c r="I63" s="774">
        <f>H63*C63</f>
        <v>0</v>
      </c>
      <c r="J63" s="772">
        <f>H63*E63</f>
        <v>5.3340000000000005</v>
      </c>
      <c r="K63" s="462">
        <f>(F63*2+G63*2)*E63</f>
        <v>13.48</v>
      </c>
      <c r="L63" s="774">
        <f>(F63*2+G63*2)*E63</f>
        <v>13.48</v>
      </c>
      <c r="M63" s="462">
        <f>(K63-F63)*$M$3</f>
        <v>1.8315000000000001</v>
      </c>
      <c r="N63" s="774">
        <f>IF(L63&gt;0,(L63-F63)*$N$3,0)</f>
        <v>1.2210000000000001</v>
      </c>
      <c r="O63" s="774"/>
      <c r="P63" s="774"/>
      <c r="Q63" s="462">
        <f>E63*(F63+2*G63)</f>
        <v>10.940000000000001</v>
      </c>
      <c r="R63" s="462">
        <f t="shared" ref="R63:R74" si="50">Q63</f>
        <v>10.940000000000001</v>
      </c>
      <c r="S63" s="462">
        <f>E63*F63</f>
        <v>2.54</v>
      </c>
      <c r="T63" s="774"/>
      <c r="U63" s="775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  <c r="DD63" s="140"/>
      <c r="DE63" s="140"/>
      <c r="DF63" s="140"/>
      <c r="DG63" s="140"/>
      <c r="DH63" s="140"/>
      <c r="DI63" s="140"/>
      <c r="DJ63" s="140"/>
      <c r="DK63" s="140"/>
      <c r="DL63" s="140"/>
      <c r="DM63" s="140"/>
      <c r="DN63" s="140"/>
      <c r="DO63" s="140"/>
      <c r="DP63" s="140"/>
      <c r="DQ63" s="140"/>
      <c r="DR63" s="140"/>
      <c r="DS63" s="140"/>
      <c r="DT63" s="140"/>
      <c r="DU63" s="140"/>
      <c r="DV63" s="140"/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  <c r="HP63" s="140"/>
      <c r="HQ63" s="140"/>
      <c r="HR63" s="140"/>
      <c r="HS63" s="140"/>
      <c r="HT63" s="140"/>
      <c r="HU63" s="140"/>
      <c r="HV63" s="140"/>
      <c r="HW63" s="140"/>
      <c r="HX63" s="140"/>
      <c r="HY63" s="140"/>
      <c r="HZ63" s="140"/>
      <c r="IA63" s="140"/>
      <c r="IB63" s="140"/>
      <c r="IC63" s="140"/>
      <c r="ID63" s="140"/>
      <c r="IE63" s="140"/>
      <c r="IF63" s="140"/>
      <c r="IG63" s="140"/>
      <c r="IH63" s="140"/>
    </row>
    <row r="64" spans="1:242" s="768" customFormat="1" outlineLevel="1" x14ac:dyDescent="0.25">
      <c r="A64" s="765"/>
      <c r="B64" s="771" t="s">
        <v>3</v>
      </c>
      <c r="C64" s="742">
        <f t="shared" si="49"/>
        <v>2</v>
      </c>
      <c r="D64" s="742"/>
      <c r="E64" s="742">
        <v>2</v>
      </c>
      <c r="F64" s="742">
        <v>1.27</v>
      </c>
      <c r="G64" s="742">
        <v>2.1</v>
      </c>
      <c r="H64" s="462">
        <f>F64*G64</f>
        <v>2.6670000000000003</v>
      </c>
      <c r="I64" s="462">
        <f>H64*C64</f>
        <v>5.3340000000000005</v>
      </c>
      <c r="J64" s="578">
        <f>H64*D64</f>
        <v>0</v>
      </c>
      <c r="K64" s="462">
        <f>(F64*2+G64*2)*E64</f>
        <v>13.48</v>
      </c>
      <c r="L64" s="462">
        <f>(F64*2+G64*2)*D64</f>
        <v>0</v>
      </c>
      <c r="M64" s="462">
        <f t="shared" ref="M64:M67" si="51">(K64-F64)*$M$3</f>
        <v>1.8315000000000001</v>
      </c>
      <c r="N64" s="774">
        <f>IF(L64&gt;0,(L64-F64)*$N$3,0)</f>
        <v>0</v>
      </c>
      <c r="O64" s="462"/>
      <c r="P64" s="462"/>
      <c r="Q64" s="462">
        <f>E64*(F64+2*G64)</f>
        <v>10.940000000000001</v>
      </c>
      <c r="R64" s="462">
        <f t="shared" si="50"/>
        <v>10.940000000000001</v>
      </c>
      <c r="S64" s="462">
        <f>E64*F64</f>
        <v>2.54</v>
      </c>
      <c r="T64" s="462"/>
      <c r="U64" s="374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40"/>
      <c r="HY64" s="140"/>
      <c r="HZ64" s="140"/>
      <c r="IA64" s="140"/>
      <c r="IB64" s="140"/>
      <c r="IC64" s="140"/>
      <c r="ID64" s="140"/>
      <c r="IE64" s="140"/>
      <c r="IF64" s="140"/>
      <c r="IG64" s="140"/>
      <c r="IH64" s="140"/>
    </row>
    <row r="65" spans="1:242" s="768" customFormat="1" outlineLevel="1" x14ac:dyDescent="0.25">
      <c r="A65" s="765"/>
      <c r="B65" s="771" t="s">
        <v>4</v>
      </c>
      <c r="C65" s="742">
        <f t="shared" si="49"/>
        <v>28</v>
      </c>
      <c r="D65" s="742"/>
      <c r="E65" s="742">
        <v>28</v>
      </c>
      <c r="F65" s="742">
        <v>0.7</v>
      </c>
      <c r="G65" s="742">
        <v>2.1</v>
      </c>
      <c r="H65" s="462">
        <f t="shared" ref="H65:H74" si="52">F65*G65</f>
        <v>1.47</v>
      </c>
      <c r="I65" s="462">
        <f t="shared" ref="I65:I74" si="53">H65*C65</f>
        <v>41.16</v>
      </c>
      <c r="J65" s="578">
        <f t="shared" ref="J65:J74" si="54">H65*D65</f>
        <v>0</v>
      </c>
      <c r="K65" s="462">
        <f t="shared" ref="K65:K74" si="55">(F65*2+G65*2)*E65</f>
        <v>156.79999999999998</v>
      </c>
      <c r="L65" s="462">
        <f t="shared" ref="L65:L74" si="56">(F65*2+G65*2)*D65</f>
        <v>0</v>
      </c>
      <c r="M65" s="462">
        <f t="shared" si="51"/>
        <v>23.414999999999999</v>
      </c>
      <c r="N65" s="774">
        <f>IF(L65&gt;0,(L65-F65)*$N$3,0)</f>
        <v>0</v>
      </c>
      <c r="O65" s="462"/>
      <c r="P65" s="462"/>
      <c r="Q65" s="462">
        <f t="shared" ref="Q65:Q74" si="57">E65*(F65+2*G65)</f>
        <v>137.20000000000002</v>
      </c>
      <c r="R65" s="462">
        <f t="shared" si="50"/>
        <v>137.20000000000002</v>
      </c>
      <c r="S65" s="462">
        <f t="shared" ref="S65:S74" si="58">E65*F65</f>
        <v>19.599999999999998</v>
      </c>
      <c r="T65" s="462"/>
      <c r="U65" s="374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  <c r="HP65" s="140"/>
      <c r="HQ65" s="140"/>
      <c r="HR65" s="140"/>
      <c r="HS65" s="140"/>
      <c r="HT65" s="140"/>
      <c r="HU65" s="140"/>
      <c r="HV65" s="140"/>
      <c r="HW65" s="140"/>
      <c r="HX65" s="140"/>
      <c r="HY65" s="140"/>
      <c r="HZ65" s="140"/>
      <c r="IA65" s="140"/>
      <c r="IB65" s="140"/>
      <c r="IC65" s="140"/>
      <c r="ID65" s="140"/>
      <c r="IE65" s="140"/>
      <c r="IF65" s="140"/>
      <c r="IG65" s="140"/>
      <c r="IH65" s="140"/>
    </row>
    <row r="66" spans="1:242" s="768" customFormat="1" outlineLevel="1" x14ac:dyDescent="0.25">
      <c r="A66" s="765"/>
      <c r="B66" s="771" t="s">
        <v>187</v>
      </c>
      <c r="C66" s="742">
        <f t="shared" si="49"/>
        <v>0</v>
      </c>
      <c r="D66" s="742">
        <v>18</v>
      </c>
      <c r="E66" s="742">
        <f t="shared" ref="E66:E74" si="59">D66</f>
        <v>18</v>
      </c>
      <c r="F66" s="742">
        <v>0.7</v>
      </c>
      <c r="G66" s="742">
        <v>2.1</v>
      </c>
      <c r="H66" s="462">
        <f t="shared" si="52"/>
        <v>1.47</v>
      </c>
      <c r="I66" s="462">
        <f t="shared" si="53"/>
        <v>0</v>
      </c>
      <c r="J66" s="578">
        <f t="shared" si="54"/>
        <v>26.46</v>
      </c>
      <c r="K66" s="462">
        <f t="shared" si="55"/>
        <v>100.8</v>
      </c>
      <c r="L66" s="462">
        <f t="shared" si="56"/>
        <v>100.8</v>
      </c>
      <c r="M66" s="462">
        <f t="shared" si="51"/>
        <v>15.014999999999999</v>
      </c>
      <c r="N66" s="774">
        <f>IF(L66&gt;0,(L66-F66)*$N$3,0)</f>
        <v>10.01</v>
      </c>
      <c r="O66" s="462"/>
      <c r="P66" s="462"/>
      <c r="Q66" s="462">
        <f t="shared" si="57"/>
        <v>88.2</v>
      </c>
      <c r="R66" s="462">
        <f t="shared" si="50"/>
        <v>88.2</v>
      </c>
      <c r="S66" s="462">
        <f t="shared" si="58"/>
        <v>12.6</v>
      </c>
      <c r="T66" s="462"/>
      <c r="U66" s="374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  <c r="HP66" s="140"/>
      <c r="HQ66" s="140"/>
      <c r="HR66" s="140"/>
      <c r="HS66" s="140"/>
      <c r="HT66" s="140"/>
      <c r="HU66" s="140"/>
      <c r="HV66" s="140"/>
      <c r="HW66" s="140"/>
      <c r="HX66" s="140"/>
      <c r="HY66" s="140"/>
      <c r="HZ66" s="140"/>
      <c r="IA66" s="140"/>
      <c r="IB66" s="140"/>
      <c r="IC66" s="140"/>
      <c r="ID66" s="140"/>
      <c r="IE66" s="140"/>
      <c r="IF66" s="140"/>
      <c r="IG66" s="140"/>
      <c r="IH66" s="140"/>
    </row>
    <row r="67" spans="1:242" s="768" customFormat="1" outlineLevel="1" x14ac:dyDescent="0.25">
      <c r="A67" s="765"/>
      <c r="B67" s="771" t="s">
        <v>188</v>
      </c>
      <c r="C67" s="742">
        <f t="shared" si="49"/>
        <v>0</v>
      </c>
      <c r="D67" s="742">
        <v>2</v>
      </c>
      <c r="E67" s="742">
        <f t="shared" si="59"/>
        <v>2</v>
      </c>
      <c r="F67" s="742">
        <v>0.95</v>
      </c>
      <c r="G67" s="742">
        <v>1.9</v>
      </c>
      <c r="H67" s="462">
        <f t="shared" si="52"/>
        <v>1.8049999999999999</v>
      </c>
      <c r="I67" s="462">
        <f t="shared" si="53"/>
        <v>0</v>
      </c>
      <c r="J67" s="578">
        <f t="shared" si="54"/>
        <v>3.61</v>
      </c>
      <c r="K67" s="462">
        <f t="shared" si="55"/>
        <v>11.399999999999999</v>
      </c>
      <c r="L67" s="462">
        <f t="shared" si="56"/>
        <v>11.399999999999999</v>
      </c>
      <c r="M67" s="462">
        <f t="shared" si="51"/>
        <v>1.5674999999999999</v>
      </c>
      <c r="N67" s="774">
        <f>IF(L67&gt;0,(L67-F67)*$N$3,0)</f>
        <v>1.0449999999999999</v>
      </c>
      <c r="O67" s="462"/>
      <c r="P67" s="462"/>
      <c r="Q67" s="462">
        <f t="shared" si="57"/>
        <v>9.5</v>
      </c>
      <c r="R67" s="462">
        <f t="shared" si="50"/>
        <v>9.5</v>
      </c>
      <c r="S67" s="462">
        <f t="shared" si="58"/>
        <v>1.9</v>
      </c>
      <c r="T67" s="462"/>
      <c r="U67" s="374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  <c r="DD67" s="140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0"/>
      <c r="DS67" s="140"/>
      <c r="DT67" s="140"/>
      <c r="DU67" s="140"/>
      <c r="DV67" s="140"/>
      <c r="DW67" s="140"/>
      <c r="DX67" s="140"/>
      <c r="DY67" s="14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140"/>
      <c r="EY67" s="140"/>
      <c r="EZ67" s="140"/>
      <c r="FA67" s="140"/>
      <c r="FB67" s="140"/>
      <c r="FC67" s="140"/>
      <c r="FD67" s="140"/>
      <c r="FE67" s="140"/>
      <c r="FF67" s="140"/>
      <c r="FG67" s="140"/>
      <c r="FH67" s="140"/>
      <c r="FI67" s="140"/>
      <c r="FJ67" s="140"/>
      <c r="FK67" s="140"/>
      <c r="FL67" s="140"/>
      <c r="FM67" s="140"/>
      <c r="FN67" s="140"/>
      <c r="FO67" s="140"/>
      <c r="FP67" s="140"/>
      <c r="FQ67" s="140"/>
      <c r="FR67" s="140"/>
      <c r="FS67" s="140"/>
      <c r="FT67" s="140"/>
      <c r="FU67" s="140"/>
      <c r="FV67" s="140"/>
      <c r="FW67" s="140"/>
      <c r="FX67" s="140"/>
      <c r="FY67" s="140"/>
      <c r="FZ67" s="140"/>
      <c r="GA67" s="140"/>
      <c r="GB67" s="140"/>
      <c r="GC67" s="140"/>
      <c r="GD67" s="140"/>
      <c r="GE67" s="140"/>
      <c r="GF67" s="140"/>
      <c r="GG67" s="140"/>
      <c r="GH67" s="140"/>
      <c r="GI67" s="140"/>
      <c r="GJ67" s="140"/>
      <c r="GK67" s="140"/>
      <c r="GL67" s="140"/>
      <c r="GM67" s="140"/>
      <c r="GN67" s="140"/>
      <c r="GO67" s="140"/>
      <c r="GP67" s="140"/>
      <c r="GQ67" s="140"/>
      <c r="GR67" s="140"/>
      <c r="GS67" s="140"/>
      <c r="GT67" s="140"/>
      <c r="GU67" s="140"/>
      <c r="GV67" s="140"/>
      <c r="GW67" s="140"/>
      <c r="GX67" s="140"/>
      <c r="GY67" s="140"/>
      <c r="GZ67" s="140"/>
      <c r="HA67" s="140"/>
      <c r="HB67" s="140"/>
      <c r="HC67" s="140"/>
      <c r="HD67" s="140"/>
      <c r="HE67" s="140"/>
      <c r="HF67" s="140"/>
      <c r="HG67" s="140"/>
      <c r="HH67" s="140"/>
      <c r="HI67" s="140"/>
      <c r="HJ67" s="140"/>
      <c r="HK67" s="140"/>
      <c r="HL67" s="140"/>
      <c r="HM67" s="140"/>
      <c r="HN67" s="140"/>
      <c r="HO67" s="140"/>
      <c r="HP67" s="140"/>
      <c r="HQ67" s="140"/>
      <c r="HR67" s="140"/>
      <c r="HS67" s="140"/>
      <c r="HT67" s="140"/>
      <c r="HU67" s="140"/>
      <c r="HV67" s="140"/>
      <c r="HW67" s="140"/>
      <c r="HX67" s="140"/>
      <c r="HY67" s="140"/>
      <c r="HZ67" s="140"/>
      <c r="IA67" s="140"/>
      <c r="IB67" s="140"/>
      <c r="IC67" s="140"/>
      <c r="ID67" s="140"/>
      <c r="IE67" s="140"/>
      <c r="IF67" s="140"/>
      <c r="IG67" s="140"/>
      <c r="IH67" s="140"/>
    </row>
    <row r="68" spans="1:242" s="768" customFormat="1" outlineLevel="1" x14ac:dyDescent="0.25">
      <c r="A68" s="765"/>
      <c r="B68" s="771"/>
      <c r="C68" s="742"/>
      <c r="D68" s="742"/>
      <c r="E68" s="742"/>
      <c r="F68" s="742"/>
      <c r="G68" s="742"/>
      <c r="H68" s="462"/>
      <c r="I68" s="772">
        <f>SUM(I63:I67)</f>
        <v>46.494</v>
      </c>
      <c r="J68" s="772">
        <f>SUM(J63:J67)</f>
        <v>35.404000000000003</v>
      </c>
      <c r="K68" s="462"/>
      <c r="L68" s="462"/>
      <c r="M68" s="462"/>
      <c r="N68" s="774"/>
      <c r="O68" s="462"/>
      <c r="P68" s="462"/>
      <c r="Q68" s="462"/>
      <c r="R68" s="462"/>
      <c r="S68" s="462"/>
      <c r="T68" s="462"/>
      <c r="U68" s="374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140"/>
      <c r="DE68" s="140"/>
      <c r="DF68" s="140"/>
      <c r="DG68" s="140"/>
      <c r="DH68" s="140"/>
      <c r="DI68" s="140"/>
      <c r="DJ68" s="140"/>
      <c r="DK68" s="140"/>
      <c r="DL68" s="140"/>
      <c r="DM68" s="140"/>
      <c r="DN68" s="140"/>
      <c r="DO68" s="140"/>
      <c r="DP68" s="140"/>
      <c r="DQ68" s="140"/>
      <c r="DR68" s="140"/>
      <c r="DS68" s="140"/>
      <c r="DT68" s="140"/>
      <c r="DU68" s="140"/>
      <c r="DV68" s="140"/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  <c r="HP68" s="140"/>
      <c r="HQ68" s="140"/>
      <c r="HR68" s="140"/>
      <c r="HS68" s="140"/>
      <c r="HT68" s="140"/>
      <c r="HU68" s="140"/>
      <c r="HV68" s="140"/>
      <c r="HW68" s="140"/>
      <c r="HX68" s="140"/>
      <c r="HY68" s="140"/>
      <c r="HZ68" s="140"/>
      <c r="IA68" s="140"/>
      <c r="IB68" s="140"/>
      <c r="IC68" s="140"/>
      <c r="ID68" s="140"/>
      <c r="IE68" s="140"/>
      <c r="IF68" s="140"/>
      <c r="IG68" s="140"/>
      <c r="IH68" s="140"/>
    </row>
    <row r="69" spans="1:242" s="768" customFormat="1" outlineLevel="1" x14ac:dyDescent="0.25">
      <c r="A69" s="765"/>
      <c r="B69" s="771" t="s">
        <v>528</v>
      </c>
      <c r="C69" s="742">
        <f t="shared" si="49"/>
        <v>0</v>
      </c>
      <c r="D69" s="742">
        <v>26</v>
      </c>
      <c r="E69" s="742">
        <f t="shared" si="59"/>
        <v>26</v>
      </c>
      <c r="F69" s="742">
        <v>0.14000000000000001</v>
      </c>
      <c r="G69" s="742">
        <f>F69</f>
        <v>0.14000000000000001</v>
      </c>
      <c r="H69" s="462">
        <f t="shared" si="52"/>
        <v>1.9600000000000003E-2</v>
      </c>
      <c r="I69" s="462">
        <f t="shared" si="53"/>
        <v>0</v>
      </c>
      <c r="J69" s="578">
        <f t="shared" si="54"/>
        <v>0.50960000000000005</v>
      </c>
      <c r="K69" s="462">
        <f t="shared" si="55"/>
        <v>14.560000000000002</v>
      </c>
      <c r="L69" s="462">
        <f t="shared" si="56"/>
        <v>14.560000000000002</v>
      </c>
      <c r="M69" s="462"/>
      <c r="N69" s="774">
        <f t="shared" ref="N69:N74" si="60">IF(L69&gt;0,(L69-F69)*$N$3,0)</f>
        <v>1.4420000000000002</v>
      </c>
      <c r="O69" s="462"/>
      <c r="P69" s="462"/>
      <c r="Q69" s="462">
        <f t="shared" si="57"/>
        <v>10.920000000000002</v>
      </c>
      <c r="R69" s="462">
        <f t="shared" si="50"/>
        <v>10.920000000000002</v>
      </c>
      <c r="S69" s="462">
        <f t="shared" si="58"/>
        <v>3.6400000000000006</v>
      </c>
      <c r="T69" s="462"/>
      <c r="U69" s="77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  <c r="DD69" s="140"/>
      <c r="DE69" s="140"/>
      <c r="DF69" s="140"/>
      <c r="DG69" s="140"/>
      <c r="DH69" s="140"/>
      <c r="DI69" s="140"/>
      <c r="DJ69" s="140"/>
      <c r="DK69" s="140"/>
      <c r="DL69" s="140"/>
      <c r="DM69" s="140"/>
      <c r="DN69" s="140"/>
      <c r="DO69" s="140"/>
      <c r="DP69" s="140"/>
      <c r="DQ69" s="140"/>
      <c r="DR69" s="140"/>
      <c r="DS69" s="140"/>
      <c r="DT69" s="140"/>
      <c r="DU69" s="140"/>
      <c r="DV69" s="140"/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  <c r="HP69" s="140"/>
      <c r="HQ69" s="140"/>
      <c r="HR69" s="140"/>
      <c r="HS69" s="140"/>
      <c r="HT69" s="140"/>
      <c r="HU69" s="140"/>
      <c r="HV69" s="140"/>
      <c r="HW69" s="140"/>
      <c r="HX69" s="140"/>
      <c r="HY69" s="140"/>
      <c r="HZ69" s="140"/>
      <c r="IA69" s="140"/>
      <c r="IB69" s="140"/>
      <c r="IC69" s="140"/>
      <c r="ID69" s="140"/>
      <c r="IE69" s="140"/>
      <c r="IF69" s="140"/>
      <c r="IG69" s="140"/>
      <c r="IH69" s="140"/>
    </row>
    <row r="70" spans="1:242" s="768" customFormat="1" outlineLevel="1" x14ac:dyDescent="0.25">
      <c r="A70" s="765"/>
      <c r="B70" s="771" t="s">
        <v>557</v>
      </c>
      <c r="C70" s="742">
        <f t="shared" si="49"/>
        <v>0</v>
      </c>
      <c r="D70" s="742">
        <v>26</v>
      </c>
      <c r="E70" s="742">
        <f t="shared" si="59"/>
        <v>26</v>
      </c>
      <c r="F70" s="742">
        <f t="shared" ref="F70:G72" si="61">F69</f>
        <v>0.14000000000000001</v>
      </c>
      <c r="G70" s="742">
        <f t="shared" si="61"/>
        <v>0.14000000000000001</v>
      </c>
      <c r="H70" s="462">
        <f t="shared" si="52"/>
        <v>1.9600000000000003E-2</v>
      </c>
      <c r="I70" s="462">
        <f t="shared" si="53"/>
        <v>0</v>
      </c>
      <c r="J70" s="578">
        <f t="shared" si="54"/>
        <v>0.50960000000000005</v>
      </c>
      <c r="K70" s="462">
        <f t="shared" si="55"/>
        <v>14.560000000000002</v>
      </c>
      <c r="L70" s="462">
        <f t="shared" si="56"/>
        <v>14.560000000000002</v>
      </c>
      <c r="M70" s="462"/>
      <c r="N70" s="774">
        <f t="shared" si="60"/>
        <v>1.4420000000000002</v>
      </c>
      <c r="O70" s="462"/>
      <c r="P70" s="462"/>
      <c r="Q70" s="462">
        <f t="shared" si="57"/>
        <v>10.920000000000002</v>
      </c>
      <c r="R70" s="462">
        <f t="shared" si="50"/>
        <v>10.920000000000002</v>
      </c>
      <c r="S70" s="462">
        <f t="shared" si="58"/>
        <v>3.6400000000000006</v>
      </c>
      <c r="T70" s="462"/>
      <c r="U70" s="77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  <c r="CE70" s="140"/>
      <c r="CF70" s="140"/>
      <c r="CG70" s="140"/>
      <c r="CH70" s="140"/>
      <c r="CI70" s="140"/>
      <c r="CJ70" s="140"/>
      <c r="CK70" s="140"/>
      <c r="CL70" s="140"/>
      <c r="CM70" s="140"/>
      <c r="CN70" s="140"/>
      <c r="CO70" s="140"/>
      <c r="CP70" s="140"/>
      <c r="CQ70" s="140"/>
      <c r="CR70" s="140"/>
      <c r="CS70" s="140"/>
      <c r="CT70" s="140"/>
      <c r="CU70" s="140"/>
      <c r="CV70" s="140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  <c r="HP70" s="140"/>
      <c r="HQ70" s="140"/>
      <c r="HR70" s="140"/>
      <c r="HS70" s="140"/>
      <c r="HT70" s="140"/>
      <c r="HU70" s="140"/>
      <c r="HV70" s="140"/>
      <c r="HW70" s="140"/>
      <c r="HX70" s="140"/>
      <c r="HY70" s="140"/>
      <c r="HZ70" s="140"/>
      <c r="IA70" s="140"/>
      <c r="IB70" s="140"/>
      <c r="IC70" s="140"/>
      <c r="ID70" s="140"/>
      <c r="IE70" s="140"/>
      <c r="IF70" s="140"/>
      <c r="IG70" s="140"/>
      <c r="IH70" s="140"/>
    </row>
    <row r="71" spans="1:242" s="768" customFormat="1" outlineLevel="1" x14ac:dyDescent="0.25">
      <c r="A71" s="765"/>
      <c r="B71" s="771" t="s">
        <v>527</v>
      </c>
      <c r="C71" s="742">
        <f t="shared" si="49"/>
        <v>0</v>
      </c>
      <c r="D71" s="742">
        <v>2</v>
      </c>
      <c r="E71" s="742">
        <f t="shared" si="59"/>
        <v>2</v>
      </c>
      <c r="F71" s="742">
        <f t="shared" si="61"/>
        <v>0.14000000000000001</v>
      </c>
      <c r="G71" s="742">
        <f t="shared" si="61"/>
        <v>0.14000000000000001</v>
      </c>
      <c r="H71" s="462">
        <f t="shared" si="52"/>
        <v>1.9600000000000003E-2</v>
      </c>
      <c r="I71" s="462">
        <f t="shared" si="53"/>
        <v>0</v>
      </c>
      <c r="J71" s="578">
        <f t="shared" si="54"/>
        <v>3.9200000000000006E-2</v>
      </c>
      <c r="K71" s="462">
        <f t="shared" si="55"/>
        <v>1.1200000000000001</v>
      </c>
      <c r="L71" s="462">
        <f t="shared" si="56"/>
        <v>1.1200000000000001</v>
      </c>
      <c r="M71" s="462"/>
      <c r="N71" s="774">
        <f t="shared" si="60"/>
        <v>9.8000000000000018E-2</v>
      </c>
      <c r="O71" s="462"/>
      <c r="P71" s="462"/>
      <c r="Q71" s="462">
        <f t="shared" si="57"/>
        <v>0.84000000000000008</v>
      </c>
      <c r="R71" s="462">
        <f t="shared" si="50"/>
        <v>0.84000000000000008</v>
      </c>
      <c r="S71" s="462">
        <f t="shared" si="58"/>
        <v>0.28000000000000003</v>
      </c>
      <c r="T71" s="462"/>
      <c r="U71" s="77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  <c r="CH71" s="140"/>
      <c r="CI71" s="140"/>
      <c r="CJ71" s="140"/>
      <c r="CK71" s="140"/>
      <c r="CL71" s="140"/>
      <c r="CM71" s="140"/>
      <c r="CN71" s="140"/>
      <c r="CO71" s="140"/>
      <c r="CP71" s="140"/>
      <c r="CQ71" s="140"/>
      <c r="CR71" s="140"/>
      <c r="CS71" s="140"/>
      <c r="CT71" s="140"/>
      <c r="CU71" s="140"/>
      <c r="CV71" s="140"/>
      <c r="CW71" s="140"/>
      <c r="CX71" s="140"/>
      <c r="CY71" s="140"/>
      <c r="CZ71" s="140"/>
      <c r="DA71" s="140"/>
      <c r="DB71" s="140"/>
      <c r="DC71" s="140"/>
      <c r="DD71" s="140"/>
      <c r="DE71" s="140"/>
      <c r="DF71" s="140"/>
      <c r="DG71" s="140"/>
      <c r="DH71" s="140"/>
      <c r="DI71" s="140"/>
      <c r="DJ71" s="140"/>
      <c r="DK71" s="140"/>
      <c r="DL71" s="140"/>
      <c r="DM71" s="140"/>
      <c r="DN71" s="140"/>
      <c r="DO71" s="140"/>
      <c r="DP71" s="140"/>
      <c r="DQ71" s="140"/>
      <c r="DR71" s="140"/>
      <c r="DS71" s="140"/>
      <c r="DT71" s="140"/>
      <c r="DU71" s="140"/>
      <c r="DV71" s="140"/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  <c r="HP71" s="140"/>
      <c r="HQ71" s="140"/>
      <c r="HR71" s="140"/>
      <c r="HS71" s="140"/>
      <c r="HT71" s="140"/>
      <c r="HU71" s="140"/>
      <c r="HV71" s="140"/>
      <c r="HW71" s="140"/>
      <c r="HX71" s="140"/>
      <c r="HY71" s="140"/>
      <c r="HZ71" s="140"/>
      <c r="IA71" s="140"/>
      <c r="IB71" s="140"/>
      <c r="IC71" s="140"/>
      <c r="ID71" s="140"/>
      <c r="IE71" s="140"/>
      <c r="IF71" s="140"/>
      <c r="IG71" s="140"/>
      <c r="IH71" s="140"/>
    </row>
    <row r="72" spans="1:242" s="768" customFormat="1" outlineLevel="1" x14ac:dyDescent="0.25">
      <c r="A72" s="765"/>
      <c r="B72" s="771" t="s">
        <v>529</v>
      </c>
      <c r="C72" s="742">
        <f t="shared" si="49"/>
        <v>0</v>
      </c>
      <c r="D72" s="742">
        <v>15</v>
      </c>
      <c r="E72" s="742">
        <f t="shared" si="59"/>
        <v>15</v>
      </c>
      <c r="F72" s="742">
        <f t="shared" si="61"/>
        <v>0.14000000000000001</v>
      </c>
      <c r="G72" s="742">
        <f t="shared" si="61"/>
        <v>0.14000000000000001</v>
      </c>
      <c r="H72" s="462">
        <f t="shared" si="52"/>
        <v>1.9600000000000003E-2</v>
      </c>
      <c r="I72" s="462">
        <f t="shared" si="53"/>
        <v>0</v>
      </c>
      <c r="J72" s="578">
        <f t="shared" si="54"/>
        <v>0.29400000000000004</v>
      </c>
      <c r="K72" s="462">
        <f t="shared" si="55"/>
        <v>8.4</v>
      </c>
      <c r="L72" s="462">
        <f t="shared" si="56"/>
        <v>8.4</v>
      </c>
      <c r="M72" s="462"/>
      <c r="N72" s="774">
        <f t="shared" si="60"/>
        <v>0.82600000000000007</v>
      </c>
      <c r="O72" s="462"/>
      <c r="P72" s="462"/>
      <c r="Q72" s="462">
        <f t="shared" si="57"/>
        <v>6.3000000000000007</v>
      </c>
      <c r="R72" s="462">
        <f t="shared" si="50"/>
        <v>6.3000000000000007</v>
      </c>
      <c r="S72" s="462">
        <f t="shared" si="58"/>
        <v>2.1</v>
      </c>
      <c r="T72" s="462"/>
      <c r="U72" s="77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  <c r="CE72" s="140"/>
      <c r="CF72" s="140"/>
      <c r="CG72" s="140"/>
      <c r="CH72" s="140"/>
      <c r="CI72" s="140"/>
      <c r="CJ72" s="140"/>
      <c r="CK72" s="140"/>
      <c r="CL72" s="140"/>
      <c r="CM72" s="140"/>
      <c r="CN72" s="140"/>
      <c r="CO72" s="140"/>
      <c r="CP72" s="140"/>
      <c r="CQ72" s="140"/>
      <c r="CR72" s="140"/>
      <c r="CS72" s="140"/>
      <c r="CT72" s="140"/>
      <c r="CU72" s="140"/>
      <c r="CV72" s="140"/>
      <c r="CW72" s="140"/>
      <c r="CX72" s="140"/>
      <c r="CY72" s="140"/>
      <c r="CZ72" s="140"/>
      <c r="DA72" s="140"/>
      <c r="DB72" s="140"/>
      <c r="DC72" s="140"/>
      <c r="DD72" s="140"/>
      <c r="DE72" s="140"/>
      <c r="DF72" s="140"/>
      <c r="DG72" s="140"/>
      <c r="DH72" s="140"/>
      <c r="DI72" s="140"/>
      <c r="DJ72" s="140"/>
      <c r="DK72" s="140"/>
      <c r="DL72" s="140"/>
      <c r="DM72" s="140"/>
      <c r="DN72" s="140"/>
      <c r="DO72" s="140"/>
      <c r="DP72" s="140"/>
      <c r="DQ72" s="140"/>
      <c r="DR72" s="140"/>
      <c r="DS72" s="140"/>
      <c r="DT72" s="140"/>
      <c r="DU72" s="140"/>
      <c r="DV72" s="140"/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  <c r="HP72" s="140"/>
      <c r="HQ72" s="140"/>
      <c r="HR72" s="140"/>
      <c r="HS72" s="140"/>
      <c r="HT72" s="140"/>
      <c r="HU72" s="140"/>
      <c r="HV72" s="140"/>
      <c r="HW72" s="140"/>
      <c r="HX72" s="140"/>
      <c r="HY72" s="140"/>
      <c r="HZ72" s="140"/>
      <c r="IA72" s="140"/>
      <c r="IB72" s="140"/>
      <c r="IC72" s="140"/>
      <c r="ID72" s="140"/>
      <c r="IE72" s="140"/>
      <c r="IF72" s="140"/>
      <c r="IG72" s="140"/>
      <c r="IH72" s="140"/>
    </row>
    <row r="73" spans="1:242" s="768" customFormat="1" ht="33.75" outlineLevel="1" x14ac:dyDescent="0.25">
      <c r="A73" s="765"/>
      <c r="B73" s="777" t="s">
        <v>530</v>
      </c>
      <c r="C73" s="742">
        <f t="shared" si="49"/>
        <v>0</v>
      </c>
      <c r="D73" s="742">
        <v>4</v>
      </c>
      <c r="E73" s="742">
        <f t="shared" si="59"/>
        <v>4</v>
      </c>
      <c r="F73" s="742">
        <v>2.2000000000000002</v>
      </c>
      <c r="G73" s="742">
        <v>0.6</v>
      </c>
      <c r="H73" s="462">
        <f t="shared" si="52"/>
        <v>1.32</v>
      </c>
      <c r="I73" s="462">
        <f t="shared" si="53"/>
        <v>0</v>
      </c>
      <c r="J73" s="578">
        <f t="shared" si="54"/>
        <v>5.28</v>
      </c>
      <c r="K73" s="462">
        <f t="shared" si="55"/>
        <v>22.400000000000002</v>
      </c>
      <c r="L73" s="462">
        <f t="shared" si="56"/>
        <v>22.400000000000002</v>
      </c>
      <c r="M73" s="462"/>
      <c r="N73" s="774">
        <f t="shared" si="60"/>
        <v>2.0200000000000005</v>
      </c>
      <c r="O73" s="462"/>
      <c r="P73" s="462"/>
      <c r="Q73" s="462">
        <f t="shared" si="57"/>
        <v>13.600000000000001</v>
      </c>
      <c r="R73" s="462">
        <f t="shared" si="50"/>
        <v>13.600000000000001</v>
      </c>
      <c r="S73" s="462">
        <f t="shared" si="58"/>
        <v>8.8000000000000007</v>
      </c>
      <c r="T73" s="462"/>
      <c r="U73" s="77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  <c r="CH73" s="140"/>
      <c r="CI73" s="140"/>
      <c r="CJ73" s="140"/>
      <c r="CK73" s="140"/>
      <c r="CL73" s="140"/>
      <c r="CM73" s="140"/>
      <c r="CN73" s="140"/>
      <c r="CO73" s="140"/>
      <c r="CP73" s="140"/>
      <c r="CQ73" s="140"/>
      <c r="CR73" s="140"/>
      <c r="CS73" s="140"/>
      <c r="CT73" s="140"/>
      <c r="CU73" s="140"/>
      <c r="CV73" s="140"/>
      <c r="CW73" s="140"/>
      <c r="CX73" s="140"/>
      <c r="CY73" s="140"/>
      <c r="CZ73" s="140"/>
      <c r="DA73" s="140"/>
      <c r="DB73" s="140"/>
      <c r="DC73" s="140"/>
      <c r="DD73" s="140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0"/>
      <c r="DS73" s="140"/>
      <c r="DT73" s="140"/>
      <c r="DU73" s="140"/>
      <c r="DV73" s="140"/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  <c r="HP73" s="140"/>
      <c r="HQ73" s="140"/>
      <c r="HR73" s="140"/>
      <c r="HS73" s="140"/>
      <c r="HT73" s="140"/>
      <c r="HU73" s="140"/>
      <c r="HV73" s="140"/>
      <c r="HW73" s="140"/>
      <c r="HX73" s="140"/>
      <c r="HY73" s="140"/>
      <c r="HZ73" s="140"/>
      <c r="IA73" s="140"/>
      <c r="IB73" s="140"/>
      <c r="IC73" s="140"/>
      <c r="ID73" s="140"/>
      <c r="IE73" s="140"/>
      <c r="IF73" s="140"/>
      <c r="IG73" s="140"/>
      <c r="IH73" s="140"/>
    </row>
    <row r="74" spans="1:242" s="768" customFormat="1" ht="22.5" outlineLevel="1" x14ac:dyDescent="0.25">
      <c r="A74" s="765"/>
      <c r="B74" s="777" t="s">
        <v>590</v>
      </c>
      <c r="C74" s="742">
        <f t="shared" si="49"/>
        <v>0</v>
      </c>
      <c r="D74" s="742">
        <v>4</v>
      </c>
      <c r="E74" s="742">
        <f t="shared" si="59"/>
        <v>4</v>
      </c>
      <c r="F74" s="742">
        <v>1.2</v>
      </c>
      <c r="G74" s="742">
        <v>0.4</v>
      </c>
      <c r="H74" s="462">
        <f t="shared" si="52"/>
        <v>0.48</v>
      </c>
      <c r="I74" s="462">
        <f t="shared" si="53"/>
        <v>0</v>
      </c>
      <c r="J74" s="578">
        <f t="shared" si="54"/>
        <v>1.92</v>
      </c>
      <c r="K74" s="462">
        <f t="shared" si="55"/>
        <v>12.8</v>
      </c>
      <c r="L74" s="462">
        <f t="shared" si="56"/>
        <v>12.8</v>
      </c>
      <c r="M74" s="462"/>
      <c r="N74" s="774">
        <f t="shared" si="60"/>
        <v>1.1600000000000001</v>
      </c>
      <c r="O74" s="462"/>
      <c r="P74" s="462"/>
      <c r="Q74" s="462">
        <f t="shared" si="57"/>
        <v>8</v>
      </c>
      <c r="R74" s="462">
        <f t="shared" si="50"/>
        <v>8</v>
      </c>
      <c r="S74" s="462">
        <f t="shared" si="58"/>
        <v>4.8</v>
      </c>
      <c r="T74" s="462"/>
      <c r="U74" s="77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  <c r="CH74" s="140"/>
      <c r="CI74" s="140"/>
      <c r="CJ74" s="140"/>
      <c r="CK74" s="140"/>
      <c r="CL74" s="140"/>
      <c r="CM74" s="140"/>
      <c r="CN74" s="140"/>
      <c r="CO74" s="140"/>
      <c r="CP74" s="140"/>
      <c r="CQ74" s="140"/>
      <c r="CR74" s="140"/>
      <c r="CS74" s="140"/>
      <c r="CT74" s="140"/>
      <c r="CU74" s="140"/>
      <c r="CV74" s="140"/>
      <c r="CW74" s="140"/>
      <c r="CX74" s="140"/>
      <c r="CY74" s="140"/>
      <c r="CZ74" s="140"/>
      <c r="DA74" s="140"/>
      <c r="DB74" s="140"/>
      <c r="DC74" s="140"/>
      <c r="DD74" s="140"/>
      <c r="DE74" s="140"/>
      <c r="DF74" s="140"/>
      <c r="DG74" s="140"/>
      <c r="DH74" s="140"/>
      <c r="DI74" s="140"/>
      <c r="DJ74" s="140"/>
      <c r="DK74" s="140"/>
      <c r="DL74" s="140"/>
      <c r="DM74" s="140"/>
      <c r="DN74" s="140"/>
      <c r="DO74" s="140"/>
      <c r="DP74" s="140"/>
      <c r="DQ74" s="140"/>
      <c r="DR74" s="140"/>
      <c r="DS74" s="140"/>
      <c r="DT74" s="140"/>
      <c r="DU74" s="140"/>
      <c r="DV74" s="140"/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  <c r="HP74" s="140"/>
      <c r="HQ74" s="140"/>
      <c r="HR74" s="140"/>
      <c r="HS74" s="140"/>
      <c r="HT74" s="140"/>
      <c r="HU74" s="140"/>
      <c r="HV74" s="140"/>
      <c r="HW74" s="140"/>
      <c r="HX74" s="140"/>
      <c r="HY74" s="140"/>
      <c r="HZ74" s="140"/>
      <c r="IA74" s="140"/>
      <c r="IB74" s="140"/>
      <c r="IC74" s="140"/>
      <c r="ID74" s="140"/>
      <c r="IE74" s="140"/>
      <c r="IF74" s="140"/>
      <c r="IG74" s="140"/>
      <c r="IH74" s="140"/>
    </row>
    <row r="75" spans="1:242" s="768" customFormat="1" outlineLevel="1" x14ac:dyDescent="0.25">
      <c r="A75" s="765"/>
      <c r="B75" s="164"/>
      <c r="C75" s="634"/>
      <c r="D75" s="634"/>
      <c r="E75" s="772">
        <f>SUM(E63:E74)</f>
        <v>129</v>
      </c>
      <c r="F75" s="634"/>
      <c r="G75" s="634"/>
      <c r="H75" s="778"/>
      <c r="I75" s="772">
        <f>SUM(I69:I74)</f>
        <v>0</v>
      </c>
      <c r="J75" s="772">
        <f>SUM(J69:J74)</f>
        <v>8.5524000000000004</v>
      </c>
      <c r="K75" s="772">
        <f t="shared" ref="K75:T75" si="62">SUM(K63:K74)</f>
        <v>369.79999999999995</v>
      </c>
      <c r="L75" s="772">
        <f t="shared" si="62"/>
        <v>199.52000000000004</v>
      </c>
      <c r="M75" s="772">
        <f t="shared" si="62"/>
        <v>43.660499999999999</v>
      </c>
      <c r="N75" s="772">
        <f t="shared" si="62"/>
        <v>19.263999999999999</v>
      </c>
      <c r="O75" s="772">
        <f t="shared" si="62"/>
        <v>0</v>
      </c>
      <c r="P75" s="772">
        <f t="shared" si="62"/>
        <v>0</v>
      </c>
      <c r="Q75" s="772">
        <f t="shared" si="62"/>
        <v>307.36000000000007</v>
      </c>
      <c r="R75" s="772">
        <f t="shared" si="62"/>
        <v>307.36000000000007</v>
      </c>
      <c r="S75" s="772">
        <f t="shared" si="62"/>
        <v>62.44</v>
      </c>
      <c r="T75" s="772">
        <f t="shared" si="62"/>
        <v>0</v>
      </c>
      <c r="U75" s="779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  <c r="CH75" s="140"/>
      <c r="CI75" s="140"/>
      <c r="CJ75" s="140"/>
      <c r="CK75" s="140"/>
      <c r="CL75" s="140"/>
      <c r="CM75" s="140"/>
      <c r="CN75" s="140"/>
      <c r="CO75" s="140"/>
      <c r="CP75" s="140"/>
      <c r="CQ75" s="140"/>
      <c r="CR75" s="140"/>
      <c r="CS75" s="140"/>
      <c r="CT75" s="140"/>
      <c r="CU75" s="140"/>
      <c r="CV75" s="140"/>
      <c r="CW75" s="140"/>
      <c r="CX75" s="140"/>
      <c r="CY75" s="140"/>
      <c r="CZ75" s="140"/>
      <c r="DA75" s="140"/>
      <c r="DB75" s="140"/>
      <c r="DC75" s="140"/>
      <c r="DD75" s="140"/>
      <c r="DE75" s="140"/>
      <c r="DF75" s="140"/>
      <c r="DG75" s="140"/>
      <c r="DH75" s="140"/>
      <c r="DI75" s="140"/>
      <c r="DJ75" s="140"/>
      <c r="DK75" s="140"/>
      <c r="DL75" s="140"/>
      <c r="DM75" s="140"/>
      <c r="DN75" s="140"/>
      <c r="DO75" s="140"/>
      <c r="DP75" s="140"/>
      <c r="DQ75" s="140"/>
      <c r="DR75" s="140"/>
      <c r="DS75" s="140"/>
      <c r="DT75" s="140"/>
      <c r="DU75" s="140"/>
      <c r="DV75" s="140"/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  <c r="HP75" s="140"/>
      <c r="HQ75" s="140"/>
      <c r="HR75" s="140"/>
      <c r="HS75" s="140"/>
      <c r="HT75" s="140"/>
      <c r="HU75" s="140"/>
      <c r="HV75" s="140"/>
      <c r="HW75" s="140"/>
      <c r="HX75" s="140"/>
      <c r="HY75" s="140"/>
      <c r="HZ75" s="140"/>
      <c r="IA75" s="140"/>
      <c r="IB75" s="140"/>
      <c r="IC75" s="140"/>
      <c r="ID75" s="140"/>
      <c r="IE75" s="140"/>
      <c r="IF75" s="140"/>
      <c r="IG75" s="140"/>
      <c r="IH75" s="140"/>
    </row>
    <row r="76" spans="1:242" s="768" customFormat="1" ht="15.75" outlineLevel="1" thickBot="1" x14ac:dyDescent="0.3">
      <c r="A76" s="765"/>
      <c r="B76" s="780"/>
      <c r="C76" s="375"/>
      <c r="D76" s="781"/>
      <c r="E76" s="772">
        <f>E75+E62+E57</f>
        <v>281</v>
      </c>
      <c r="F76" s="781"/>
      <c r="G76" s="781"/>
      <c r="H76" s="781"/>
      <c r="I76" s="772">
        <f t="shared" ref="I76:T76" si="63">I75+I62+I57</f>
        <v>216</v>
      </c>
      <c r="J76" s="772">
        <f t="shared" si="63"/>
        <v>324.1044</v>
      </c>
      <c r="K76" s="772">
        <f t="shared" si="63"/>
        <v>1550.32</v>
      </c>
      <c r="L76" s="772">
        <f t="shared" si="63"/>
        <v>823.44</v>
      </c>
      <c r="M76" s="772">
        <f t="shared" si="63"/>
        <v>220.73849999999999</v>
      </c>
      <c r="N76" s="772">
        <f t="shared" si="63"/>
        <v>81.656000000000006</v>
      </c>
      <c r="O76" s="772">
        <f t="shared" si="63"/>
        <v>274.62400000000002</v>
      </c>
      <c r="P76" s="772">
        <f t="shared" si="63"/>
        <v>399.88200000000006</v>
      </c>
      <c r="Q76" s="772">
        <f t="shared" si="63"/>
        <v>1107.04</v>
      </c>
      <c r="R76" s="772">
        <f t="shared" si="63"/>
        <v>1107.04</v>
      </c>
      <c r="S76" s="772">
        <f t="shared" si="63"/>
        <v>443.28</v>
      </c>
      <c r="T76" s="772">
        <f t="shared" si="63"/>
        <v>380.84</v>
      </c>
      <c r="U76" s="782">
        <v>87</v>
      </c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0"/>
      <c r="CO76" s="140"/>
      <c r="CP76" s="140"/>
      <c r="CQ76" s="140"/>
      <c r="CR76" s="140"/>
      <c r="CS76" s="140"/>
      <c r="CT76" s="140"/>
      <c r="CU76" s="140"/>
      <c r="CV76" s="140"/>
      <c r="CW76" s="140"/>
      <c r="CX76" s="140"/>
      <c r="CY76" s="140"/>
      <c r="CZ76" s="140"/>
      <c r="DA76" s="140"/>
      <c r="DB76" s="140"/>
      <c r="DC76" s="140"/>
      <c r="DD76" s="140"/>
      <c r="DE76" s="140"/>
      <c r="DF76" s="140"/>
      <c r="DG76" s="140"/>
      <c r="DH76" s="140"/>
      <c r="DI76" s="140"/>
      <c r="DJ76" s="140"/>
      <c r="DK76" s="140"/>
      <c r="DL76" s="140"/>
      <c r="DM76" s="140"/>
      <c r="DN76" s="140"/>
      <c r="DO76" s="140"/>
      <c r="DP76" s="140"/>
      <c r="DQ76" s="140"/>
      <c r="DR76" s="140"/>
      <c r="DS76" s="140"/>
      <c r="DT76" s="140"/>
      <c r="DU76" s="140"/>
      <c r="DV76" s="140"/>
      <c r="DW76" s="140"/>
      <c r="DX76" s="140"/>
      <c r="DY76" s="140"/>
      <c r="DZ76" s="140"/>
      <c r="EA76" s="140"/>
      <c r="EB76" s="140"/>
      <c r="EC76" s="140"/>
      <c r="ED76" s="140"/>
      <c r="EE76" s="140"/>
      <c r="EF76" s="140"/>
      <c r="EG76" s="140"/>
      <c r="EH76" s="140"/>
      <c r="EI76" s="140"/>
      <c r="EJ76" s="140"/>
      <c r="EK76" s="140"/>
      <c r="EL76" s="140"/>
      <c r="EM76" s="140"/>
      <c r="EN76" s="140"/>
      <c r="EO76" s="140"/>
      <c r="EP76" s="140"/>
      <c r="EQ76" s="140"/>
      <c r="ER76" s="140"/>
      <c r="ES76" s="140"/>
      <c r="ET76" s="140"/>
      <c r="EU76" s="140"/>
      <c r="EV76" s="140"/>
      <c r="EW76" s="140"/>
      <c r="EX76" s="140"/>
      <c r="EY76" s="140"/>
      <c r="EZ76" s="140"/>
      <c r="FA76" s="140"/>
      <c r="FB76" s="140"/>
      <c r="FC76" s="140"/>
      <c r="FD76" s="140"/>
      <c r="FE76" s="140"/>
      <c r="FF76" s="140"/>
      <c r="FG76" s="140"/>
      <c r="FH76" s="140"/>
      <c r="FI76" s="140"/>
      <c r="FJ76" s="140"/>
      <c r="FK76" s="140"/>
      <c r="FL76" s="140"/>
      <c r="FM76" s="140"/>
      <c r="FN76" s="140"/>
      <c r="FO76" s="140"/>
      <c r="FP76" s="140"/>
      <c r="FQ76" s="140"/>
      <c r="FR76" s="140"/>
      <c r="FS76" s="140"/>
      <c r="FT76" s="140"/>
      <c r="FU76" s="140"/>
      <c r="FV76" s="140"/>
      <c r="FW76" s="140"/>
      <c r="FX76" s="140"/>
      <c r="FY76" s="140"/>
      <c r="FZ76" s="140"/>
      <c r="GA76" s="140"/>
      <c r="GB76" s="140"/>
      <c r="GC76" s="140"/>
      <c r="GD76" s="140"/>
      <c r="GE76" s="140"/>
      <c r="GF76" s="140"/>
      <c r="GG76" s="140"/>
      <c r="GH76" s="140"/>
      <c r="GI76" s="140"/>
      <c r="GJ76" s="140"/>
      <c r="GK76" s="140"/>
      <c r="GL76" s="140"/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0"/>
      <c r="HA76" s="140"/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0"/>
      <c r="HP76" s="140"/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0"/>
      <c r="IE76" s="140"/>
      <c r="IF76" s="140"/>
      <c r="IG76" s="140"/>
      <c r="IH76" s="140"/>
    </row>
    <row r="77" spans="1:242" s="768" customFormat="1" ht="15.75" outlineLevel="1" thickBot="1" x14ac:dyDescent="0.3">
      <c r="A77" s="765"/>
      <c r="B77" s="783" t="s">
        <v>534</v>
      </c>
      <c r="C77" s="784"/>
      <c r="D77" s="140"/>
      <c r="E77" s="767">
        <v>16</v>
      </c>
      <c r="F77" s="767">
        <v>6.24</v>
      </c>
      <c r="G77" s="785">
        <v>1.1000000000000001</v>
      </c>
      <c r="H77" s="462">
        <f>F77*G77</f>
        <v>6.8640000000000008</v>
      </c>
      <c r="I77" s="140"/>
      <c r="J77" s="578">
        <f>H77*E77</f>
        <v>109.82400000000001</v>
      </c>
      <c r="K77" s="140"/>
      <c r="L77" s="140"/>
      <c r="M77" s="140"/>
      <c r="N77" s="140"/>
      <c r="O77" s="140"/>
      <c r="P77" s="140"/>
      <c r="Q77" s="462">
        <f>E77*F77</f>
        <v>99.84</v>
      </c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</row>
    <row r="78" spans="1:242" s="768" customFormat="1" ht="15.75" outlineLevel="1" thickBot="1" x14ac:dyDescent="0.3">
      <c r="A78" s="765"/>
      <c r="B78" s="783" t="s">
        <v>535</v>
      </c>
      <c r="C78" s="381"/>
      <c r="D78" s="140"/>
      <c r="E78" s="742">
        <v>10</v>
      </c>
      <c r="F78" s="742">
        <v>3.04</v>
      </c>
      <c r="G78" s="374">
        <f>G77</f>
        <v>1.1000000000000001</v>
      </c>
      <c r="H78" s="462">
        <f>F78*G78</f>
        <v>3.3440000000000003</v>
      </c>
      <c r="I78" s="140"/>
      <c r="J78" s="578">
        <f>H78*E78</f>
        <v>33.440000000000005</v>
      </c>
      <c r="K78" s="140"/>
      <c r="L78" s="140"/>
      <c r="M78" s="140"/>
      <c r="N78" s="140"/>
      <c r="O78" s="140"/>
      <c r="P78" s="140"/>
      <c r="Q78" s="462">
        <f>E78*F78</f>
        <v>30.4</v>
      </c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</row>
    <row r="79" spans="1:242" s="768" customFormat="1" ht="15.75" outlineLevel="1" thickBot="1" x14ac:dyDescent="0.3">
      <c r="A79" s="765"/>
      <c r="B79" s="783" t="s">
        <v>536</v>
      </c>
      <c r="C79" s="786"/>
      <c r="D79" s="140"/>
      <c r="E79" s="773">
        <v>12</v>
      </c>
      <c r="F79" s="773">
        <v>6.24</v>
      </c>
      <c r="G79" s="374">
        <f>G78</f>
        <v>1.1000000000000001</v>
      </c>
      <c r="H79" s="462">
        <f>F79*G79</f>
        <v>6.8640000000000008</v>
      </c>
      <c r="I79" s="140"/>
      <c r="J79" s="578">
        <f>H79*E79</f>
        <v>82.368000000000009</v>
      </c>
      <c r="K79" s="140"/>
      <c r="L79" s="140"/>
      <c r="M79" s="140"/>
      <c r="N79" s="140"/>
      <c r="O79" s="140"/>
      <c r="P79" s="140"/>
      <c r="Q79" s="462">
        <f>E79*F79</f>
        <v>74.88</v>
      </c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</row>
    <row r="80" spans="1:242" s="768" customFormat="1" ht="15.75" outlineLevel="1" thickBot="1" x14ac:dyDescent="0.3">
      <c r="A80" s="765"/>
      <c r="B80" s="783" t="s">
        <v>537</v>
      </c>
      <c r="C80" s="787"/>
      <c r="D80" s="140"/>
      <c r="E80" s="788">
        <v>8</v>
      </c>
      <c r="F80" s="788">
        <v>3.04</v>
      </c>
      <c r="G80" s="374">
        <f>G79</f>
        <v>1.1000000000000001</v>
      </c>
      <c r="H80" s="462">
        <f>F80*G80</f>
        <v>3.3440000000000003</v>
      </c>
      <c r="I80" s="140"/>
      <c r="J80" s="578">
        <f>H80*E80</f>
        <v>26.752000000000002</v>
      </c>
      <c r="K80" s="140"/>
      <c r="L80" s="140"/>
      <c r="M80" s="140"/>
      <c r="N80" s="140"/>
      <c r="O80" s="140"/>
      <c r="P80" s="140"/>
      <c r="Q80" s="462">
        <f>E80*F80</f>
        <v>24.32</v>
      </c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</row>
    <row r="81" spans="1:243" outlineLevel="1" x14ac:dyDescent="0.25">
      <c r="B81" s="140"/>
      <c r="E81" s="789">
        <f>SUM(E77:E80)</f>
        <v>46</v>
      </c>
      <c r="J81" s="789">
        <f>SUM(J77:J80)</f>
        <v>252.38400000000001</v>
      </c>
      <c r="Q81" s="789">
        <f>SUM(Q77:Q80)</f>
        <v>229.44</v>
      </c>
      <c r="II81" s="768"/>
    </row>
    <row r="82" spans="1:243" x14ac:dyDescent="0.25">
      <c r="A82" s="566" t="s">
        <v>110</v>
      </c>
      <c r="B82" s="566"/>
      <c r="C82" s="566"/>
      <c r="D82" s="566" t="s">
        <v>572</v>
      </c>
      <c r="E82" s="566" t="s">
        <v>573</v>
      </c>
    </row>
    <row r="83" spans="1:243" x14ac:dyDescent="0.25">
      <c r="A83" s="790" t="s">
        <v>111</v>
      </c>
      <c r="B83" s="791" t="s">
        <v>112</v>
      </c>
      <c r="C83" s="791" t="s">
        <v>113</v>
      </c>
      <c r="D83" s="792" t="s">
        <v>114</v>
      </c>
      <c r="E83" s="793"/>
      <c r="II83" s="768"/>
    </row>
    <row r="84" spans="1:243" ht="45" x14ac:dyDescent="0.25">
      <c r="A84" s="95" t="s">
        <v>115</v>
      </c>
      <c r="B84" s="54" t="s">
        <v>539</v>
      </c>
      <c r="C84" s="742" t="s">
        <v>17</v>
      </c>
      <c r="D84" s="742">
        <f>U37*1.7</f>
        <v>357</v>
      </c>
      <c r="E84" s="742">
        <f>U76*1.7</f>
        <v>147.9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II84" s="768"/>
    </row>
    <row r="85" spans="1:243" ht="45" x14ac:dyDescent="0.25">
      <c r="A85" s="95" t="s">
        <v>540</v>
      </c>
      <c r="B85" s="54" t="s">
        <v>539</v>
      </c>
      <c r="C85" s="742" t="s">
        <v>17</v>
      </c>
      <c r="D85" s="742"/>
      <c r="E85" s="742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II85" s="768"/>
    </row>
    <row r="86" spans="1:243" x14ac:dyDescent="0.25">
      <c r="A86" s="95"/>
      <c r="B86" s="54"/>
      <c r="C86" s="742"/>
      <c r="D86" s="742"/>
      <c r="E86" s="742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II86" s="768"/>
    </row>
    <row r="87" spans="1:243" ht="45" x14ac:dyDescent="0.25">
      <c r="A87" s="95" t="s">
        <v>538</v>
      </c>
      <c r="B87" s="95" t="s">
        <v>707</v>
      </c>
      <c r="C87" s="742" t="s">
        <v>17</v>
      </c>
      <c r="D87" s="742">
        <f>440+220</f>
        <v>660</v>
      </c>
      <c r="E87" s="742">
        <f>90+162+1.2*4*12</f>
        <v>309.60000000000002</v>
      </c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II87" s="768"/>
    </row>
    <row r="88" spans="1:243" ht="67.5" x14ac:dyDescent="0.25">
      <c r="A88" s="95" t="s">
        <v>553</v>
      </c>
      <c r="B88" s="54" t="s">
        <v>708</v>
      </c>
      <c r="C88" s="742" t="s">
        <v>17</v>
      </c>
      <c r="D88" s="742">
        <f>633+65</f>
        <v>698</v>
      </c>
      <c r="E88" s="742">
        <f>230*2</f>
        <v>460</v>
      </c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II88" s="768"/>
    </row>
    <row r="89" spans="1:243" ht="45" x14ac:dyDescent="0.25">
      <c r="A89" s="95" t="s">
        <v>541</v>
      </c>
      <c r="B89" s="54" t="s">
        <v>542</v>
      </c>
      <c r="C89" s="742" t="s">
        <v>17</v>
      </c>
      <c r="D89" s="742"/>
      <c r="E89" s="742"/>
      <c r="F89" s="794"/>
      <c r="G89" s="794"/>
      <c r="H89" s="794"/>
      <c r="I89" s="794"/>
      <c r="J89" s="794"/>
      <c r="K89" s="794"/>
      <c r="L89" s="794"/>
      <c r="M89" s="794"/>
      <c r="N89" s="794"/>
      <c r="O89" s="794"/>
      <c r="P89" s="794"/>
      <c r="Q89" s="794"/>
      <c r="R89" s="794"/>
      <c r="S89" s="794"/>
      <c r="T89" s="794"/>
      <c r="U89" s="794"/>
      <c r="V89" s="794"/>
      <c r="W89" s="794"/>
      <c r="X89" s="794"/>
      <c r="Y89" s="794"/>
      <c r="Z89" s="794"/>
      <c r="AA89" s="794"/>
      <c r="AB89" s="794"/>
      <c r="AC89" s="794"/>
      <c r="AD89" s="794"/>
      <c r="AE89" s="794"/>
      <c r="AF89" s="794"/>
      <c r="AG89" s="794"/>
      <c r="AH89" s="794"/>
      <c r="AI89" s="794"/>
      <c r="AJ89" s="768"/>
      <c r="AK89" s="768"/>
      <c r="AL89" s="768"/>
      <c r="AM89" s="768"/>
      <c r="AN89" s="768"/>
      <c r="AO89" s="768"/>
      <c r="AP89" s="768"/>
      <c r="AQ89" s="768"/>
      <c r="AR89" s="768"/>
      <c r="AS89" s="768"/>
      <c r="AT89" s="768"/>
      <c r="AU89" s="768"/>
      <c r="AV89" s="768"/>
      <c r="AW89" s="768"/>
      <c r="AX89" s="768"/>
      <c r="AY89" s="768"/>
      <c r="AZ89" s="768"/>
      <c r="BA89" s="768"/>
      <c r="BB89" s="768"/>
      <c r="BC89" s="768"/>
      <c r="BD89" s="768"/>
      <c r="BE89" s="768"/>
      <c r="BF89" s="768"/>
      <c r="BG89" s="768"/>
      <c r="BH89" s="768"/>
      <c r="BI89" s="768"/>
      <c r="BJ89" s="768"/>
      <c r="BK89" s="768"/>
      <c r="BL89" s="768"/>
      <c r="BM89" s="768"/>
      <c r="BN89" s="768"/>
      <c r="BO89" s="768"/>
      <c r="BP89" s="768"/>
      <c r="BQ89" s="768"/>
      <c r="BR89" s="768"/>
      <c r="BS89" s="768"/>
      <c r="BT89" s="768"/>
      <c r="BU89" s="768"/>
      <c r="BV89" s="768"/>
      <c r="BW89" s="768"/>
      <c r="BX89" s="768"/>
      <c r="BY89" s="768"/>
      <c r="BZ89" s="768"/>
      <c r="CA89" s="768"/>
      <c r="CB89" s="768"/>
      <c r="CC89" s="768"/>
      <c r="CD89" s="768"/>
      <c r="CE89" s="768"/>
      <c r="CF89" s="768"/>
      <c r="CG89" s="768"/>
      <c r="CH89" s="768"/>
      <c r="CI89" s="768"/>
      <c r="CJ89" s="768"/>
      <c r="CK89" s="768"/>
      <c r="CL89" s="768"/>
      <c r="CM89" s="768"/>
      <c r="CN89" s="768"/>
      <c r="CO89" s="768"/>
      <c r="CP89" s="768"/>
      <c r="CQ89" s="768"/>
      <c r="CR89" s="768"/>
      <c r="CS89" s="768"/>
      <c r="CT89" s="768"/>
      <c r="CU89" s="768"/>
      <c r="CV89" s="768"/>
      <c r="CW89" s="768"/>
      <c r="CX89" s="768"/>
      <c r="CY89" s="768"/>
      <c r="CZ89" s="768"/>
      <c r="DA89" s="768"/>
      <c r="DB89" s="768"/>
      <c r="DC89" s="768"/>
      <c r="DD89" s="768"/>
      <c r="DE89" s="768"/>
      <c r="DF89" s="768"/>
      <c r="DG89" s="768"/>
      <c r="DH89" s="768"/>
      <c r="DI89" s="768"/>
      <c r="DJ89" s="768"/>
      <c r="DK89" s="768"/>
      <c r="DL89" s="768"/>
      <c r="DM89" s="768"/>
      <c r="DN89" s="768"/>
      <c r="DO89" s="768"/>
      <c r="DP89" s="768"/>
      <c r="DQ89" s="768"/>
      <c r="DR89" s="768"/>
      <c r="DS89" s="768"/>
      <c r="DT89" s="768"/>
      <c r="DU89" s="768"/>
      <c r="DV89" s="768"/>
      <c r="DW89" s="768"/>
      <c r="DX89" s="768"/>
      <c r="DY89" s="768"/>
      <c r="DZ89" s="768"/>
      <c r="EA89" s="768"/>
      <c r="EB89" s="768"/>
      <c r="EC89" s="768"/>
      <c r="ED89" s="768"/>
      <c r="EE89" s="768"/>
      <c r="EF89" s="768"/>
      <c r="EG89" s="768"/>
      <c r="EH89" s="768"/>
      <c r="EI89" s="768"/>
      <c r="EJ89" s="768"/>
      <c r="EK89" s="768"/>
      <c r="EL89" s="768"/>
      <c r="EM89" s="768"/>
      <c r="EN89" s="768"/>
      <c r="EO89" s="768"/>
      <c r="EP89" s="768"/>
      <c r="EQ89" s="768"/>
      <c r="ER89" s="768"/>
      <c r="ES89" s="768"/>
      <c r="ET89" s="768"/>
      <c r="EU89" s="768"/>
      <c r="EV89" s="768"/>
      <c r="EW89" s="768"/>
      <c r="EX89" s="768"/>
      <c r="EY89" s="768"/>
      <c r="EZ89" s="768"/>
      <c r="FA89" s="768"/>
      <c r="FB89" s="768"/>
      <c r="FC89" s="768"/>
      <c r="FD89" s="768"/>
      <c r="FE89" s="768"/>
      <c r="FF89" s="768"/>
      <c r="FG89" s="768"/>
      <c r="FH89" s="768"/>
      <c r="FI89" s="768"/>
      <c r="FJ89" s="768"/>
      <c r="FK89" s="768"/>
      <c r="FL89" s="768"/>
      <c r="FM89" s="768"/>
      <c r="FN89" s="768"/>
      <c r="FO89" s="768"/>
      <c r="FP89" s="768"/>
      <c r="FQ89" s="768"/>
      <c r="FR89" s="768"/>
      <c r="FS89" s="768"/>
      <c r="FT89" s="768"/>
      <c r="FU89" s="768"/>
      <c r="FV89" s="768"/>
      <c r="FW89" s="768"/>
      <c r="FX89" s="768"/>
      <c r="FY89" s="768"/>
      <c r="FZ89" s="768"/>
      <c r="GA89" s="768"/>
      <c r="GB89" s="768"/>
      <c r="GC89" s="768"/>
      <c r="GD89" s="768"/>
      <c r="GE89" s="768"/>
      <c r="GF89" s="768"/>
      <c r="GG89" s="768"/>
      <c r="GH89" s="768"/>
      <c r="GI89" s="768"/>
      <c r="GJ89" s="768"/>
      <c r="GK89" s="768"/>
      <c r="GL89" s="768"/>
      <c r="GM89" s="768"/>
      <c r="GN89" s="768"/>
      <c r="GO89" s="768"/>
      <c r="GP89" s="768"/>
      <c r="GQ89" s="768"/>
      <c r="GR89" s="768"/>
      <c r="GS89" s="768"/>
      <c r="GT89" s="768"/>
      <c r="GU89" s="768"/>
      <c r="GV89" s="768"/>
      <c r="GW89" s="768"/>
      <c r="GX89" s="768"/>
      <c r="GY89" s="768"/>
      <c r="GZ89" s="768"/>
      <c r="HA89" s="768"/>
      <c r="HB89" s="768"/>
      <c r="HC89" s="768"/>
      <c r="HD89" s="768"/>
      <c r="HE89" s="768"/>
      <c r="HF89" s="768"/>
      <c r="HG89" s="768"/>
      <c r="HH89" s="768"/>
      <c r="HI89" s="768"/>
      <c r="HJ89" s="768"/>
      <c r="HK89" s="768"/>
      <c r="HL89" s="768"/>
      <c r="HM89" s="768"/>
      <c r="HN89" s="768"/>
      <c r="HO89" s="768"/>
      <c r="HP89" s="768"/>
      <c r="HQ89" s="768"/>
      <c r="HR89" s="768"/>
      <c r="HS89" s="768"/>
      <c r="HT89" s="768"/>
      <c r="HU89" s="768"/>
      <c r="HV89" s="768"/>
      <c r="HW89" s="768"/>
      <c r="HX89" s="768"/>
      <c r="HY89" s="768"/>
      <c r="HZ89" s="768"/>
      <c r="IA89" s="768"/>
      <c r="IB89" s="768"/>
      <c r="IC89" s="768"/>
      <c r="ID89" s="768"/>
      <c r="IE89" s="768"/>
      <c r="IF89" s="768"/>
      <c r="IG89" s="768"/>
      <c r="IH89" s="768"/>
      <c r="II89" s="768"/>
    </row>
    <row r="90" spans="1:243" x14ac:dyDescent="0.25">
      <c r="A90" s="819" t="s">
        <v>547</v>
      </c>
      <c r="B90" s="54" t="s">
        <v>240</v>
      </c>
      <c r="C90" s="742" t="s">
        <v>17</v>
      </c>
      <c r="D90" s="742">
        <v>1144</v>
      </c>
      <c r="E90" s="742">
        <v>515</v>
      </c>
      <c r="F90" s="794"/>
      <c r="G90" s="794"/>
      <c r="H90" s="794"/>
      <c r="I90" s="794"/>
      <c r="J90" s="794"/>
      <c r="K90" s="794"/>
      <c r="L90" s="794"/>
      <c r="M90" s="794"/>
      <c r="N90" s="794"/>
      <c r="O90" s="794"/>
      <c r="P90" s="794"/>
      <c r="Q90" s="794"/>
      <c r="R90" s="794"/>
      <c r="S90" s="794"/>
      <c r="T90" s="794"/>
      <c r="U90" s="794"/>
      <c r="V90" s="794"/>
      <c r="W90" s="794"/>
      <c r="X90" s="794"/>
      <c r="Y90" s="794"/>
      <c r="Z90" s="794"/>
      <c r="AA90" s="794"/>
      <c r="AB90" s="794"/>
      <c r="AC90" s="794"/>
      <c r="AD90" s="794"/>
      <c r="AE90" s="794"/>
      <c r="AF90" s="794"/>
      <c r="AG90" s="794"/>
      <c r="AH90" s="794"/>
      <c r="AI90" s="794"/>
      <c r="AJ90" s="768"/>
      <c r="AK90" s="768"/>
      <c r="AL90" s="768"/>
      <c r="AM90" s="768"/>
      <c r="AN90" s="768"/>
      <c r="AO90" s="768"/>
      <c r="AP90" s="768"/>
      <c r="AQ90" s="768"/>
      <c r="AR90" s="768"/>
      <c r="AS90" s="768"/>
      <c r="AT90" s="768"/>
      <c r="AU90" s="768"/>
      <c r="AV90" s="768"/>
      <c r="AW90" s="768"/>
      <c r="AX90" s="768"/>
      <c r="AY90" s="768"/>
      <c r="AZ90" s="768"/>
      <c r="BA90" s="768"/>
      <c r="BB90" s="768"/>
      <c r="BC90" s="768"/>
      <c r="BD90" s="768"/>
      <c r="BE90" s="768"/>
      <c r="BF90" s="768"/>
      <c r="BG90" s="768"/>
      <c r="BH90" s="768"/>
      <c r="BI90" s="768"/>
      <c r="BJ90" s="768"/>
      <c r="BK90" s="768"/>
      <c r="BL90" s="768"/>
      <c r="BM90" s="768"/>
      <c r="BN90" s="768"/>
      <c r="BO90" s="768"/>
      <c r="BP90" s="768"/>
      <c r="BQ90" s="768"/>
      <c r="BR90" s="768"/>
      <c r="BS90" s="768"/>
      <c r="BT90" s="768"/>
      <c r="BU90" s="768"/>
      <c r="BV90" s="768"/>
      <c r="BW90" s="768"/>
      <c r="BX90" s="768"/>
      <c r="BY90" s="768"/>
      <c r="BZ90" s="768"/>
      <c r="CA90" s="768"/>
      <c r="CB90" s="768"/>
      <c r="CC90" s="768"/>
      <c r="CD90" s="768"/>
      <c r="CE90" s="768"/>
      <c r="CF90" s="768"/>
      <c r="CG90" s="768"/>
      <c r="CH90" s="768"/>
      <c r="CI90" s="768"/>
      <c r="CJ90" s="768"/>
      <c r="CK90" s="768"/>
      <c r="CL90" s="768"/>
      <c r="CM90" s="768"/>
      <c r="CN90" s="768"/>
      <c r="CO90" s="768"/>
      <c r="CP90" s="768"/>
      <c r="CQ90" s="768"/>
      <c r="CR90" s="768"/>
      <c r="CS90" s="768"/>
      <c r="CT90" s="768"/>
      <c r="CU90" s="768"/>
      <c r="CV90" s="768"/>
      <c r="CW90" s="768"/>
      <c r="CX90" s="768"/>
      <c r="CY90" s="768"/>
      <c r="CZ90" s="768"/>
      <c r="DA90" s="768"/>
      <c r="DB90" s="768"/>
      <c r="DC90" s="768"/>
      <c r="DD90" s="768"/>
      <c r="DE90" s="768"/>
      <c r="DF90" s="768"/>
      <c r="DG90" s="768"/>
      <c r="DH90" s="768"/>
      <c r="DI90" s="768"/>
      <c r="DJ90" s="768"/>
      <c r="DK90" s="768"/>
      <c r="DL90" s="768"/>
      <c r="DM90" s="768"/>
      <c r="DN90" s="768"/>
      <c r="DO90" s="768"/>
      <c r="DP90" s="768"/>
      <c r="DQ90" s="768"/>
      <c r="DR90" s="768"/>
      <c r="DS90" s="768"/>
      <c r="DT90" s="768"/>
      <c r="DU90" s="768"/>
      <c r="DV90" s="768"/>
      <c r="DW90" s="768"/>
      <c r="DX90" s="768"/>
      <c r="DY90" s="768"/>
      <c r="DZ90" s="768"/>
      <c r="EA90" s="768"/>
      <c r="EB90" s="768"/>
      <c r="EC90" s="768"/>
      <c r="ED90" s="768"/>
      <c r="EE90" s="768"/>
      <c r="EF90" s="768"/>
      <c r="EG90" s="768"/>
      <c r="EH90" s="768"/>
      <c r="EI90" s="768"/>
      <c r="EJ90" s="768"/>
      <c r="EK90" s="768"/>
      <c r="EL90" s="768"/>
      <c r="EM90" s="768"/>
      <c r="EN90" s="768"/>
      <c r="EO90" s="768"/>
      <c r="EP90" s="768"/>
      <c r="EQ90" s="768"/>
      <c r="ER90" s="768"/>
      <c r="ES90" s="768"/>
      <c r="ET90" s="768"/>
      <c r="EU90" s="768"/>
      <c r="EV90" s="768"/>
      <c r="EW90" s="768"/>
      <c r="EX90" s="768"/>
      <c r="EY90" s="768"/>
      <c r="EZ90" s="768"/>
      <c r="FA90" s="768"/>
      <c r="FB90" s="768"/>
      <c r="FC90" s="768"/>
      <c r="FD90" s="768"/>
      <c r="FE90" s="768"/>
      <c r="FF90" s="768"/>
      <c r="FG90" s="768"/>
      <c r="FH90" s="768"/>
      <c r="FI90" s="768"/>
      <c r="FJ90" s="768"/>
      <c r="FK90" s="768"/>
      <c r="FL90" s="768"/>
      <c r="FM90" s="768"/>
      <c r="FN90" s="768"/>
      <c r="FO90" s="768"/>
      <c r="FP90" s="768"/>
      <c r="FQ90" s="768"/>
      <c r="FR90" s="768"/>
      <c r="FS90" s="768"/>
      <c r="FT90" s="768"/>
      <c r="FU90" s="768"/>
      <c r="FV90" s="768"/>
      <c r="FW90" s="768"/>
      <c r="FX90" s="768"/>
      <c r="FY90" s="768"/>
      <c r="FZ90" s="768"/>
      <c r="GA90" s="768"/>
      <c r="GB90" s="768"/>
      <c r="GC90" s="768"/>
      <c r="GD90" s="768"/>
      <c r="GE90" s="768"/>
      <c r="GF90" s="768"/>
      <c r="GG90" s="768"/>
      <c r="GH90" s="768"/>
      <c r="GI90" s="768"/>
      <c r="GJ90" s="768"/>
      <c r="GK90" s="768"/>
      <c r="GL90" s="768"/>
      <c r="GM90" s="768"/>
      <c r="GN90" s="768"/>
      <c r="GO90" s="768"/>
      <c r="GP90" s="768"/>
      <c r="GQ90" s="768"/>
      <c r="GR90" s="768"/>
      <c r="GS90" s="768"/>
      <c r="GT90" s="768"/>
      <c r="GU90" s="768"/>
      <c r="GV90" s="768"/>
      <c r="GW90" s="768"/>
      <c r="GX90" s="768"/>
      <c r="GY90" s="768"/>
      <c r="GZ90" s="768"/>
      <c r="HA90" s="768"/>
      <c r="HB90" s="768"/>
      <c r="HC90" s="768"/>
      <c r="HD90" s="768"/>
      <c r="HE90" s="768"/>
      <c r="HF90" s="768"/>
      <c r="HG90" s="768"/>
      <c r="HH90" s="768"/>
      <c r="HI90" s="768"/>
      <c r="HJ90" s="768"/>
      <c r="HK90" s="768"/>
      <c r="HL90" s="768"/>
      <c r="HM90" s="768"/>
      <c r="HN90" s="768"/>
      <c r="HO90" s="768"/>
      <c r="HP90" s="768"/>
      <c r="HQ90" s="768"/>
      <c r="HR90" s="768"/>
      <c r="HS90" s="768"/>
      <c r="HT90" s="768"/>
      <c r="HU90" s="768"/>
      <c r="HV90" s="768"/>
      <c r="HW90" s="768"/>
      <c r="HX90" s="768"/>
      <c r="HY90" s="768"/>
      <c r="HZ90" s="768"/>
      <c r="IA90" s="768"/>
      <c r="IB90" s="768"/>
      <c r="IC90" s="768"/>
      <c r="ID90" s="768"/>
      <c r="IE90" s="768"/>
      <c r="IF90" s="768"/>
      <c r="IG90" s="768"/>
      <c r="IH90" s="768"/>
      <c r="II90" s="768"/>
    </row>
    <row r="91" spans="1:243" x14ac:dyDescent="0.25">
      <c r="A91" s="820"/>
      <c r="B91" s="54" t="s">
        <v>239</v>
      </c>
      <c r="C91" s="742" t="s">
        <v>17</v>
      </c>
      <c r="D91" s="742">
        <f>15*1.2*14+6*1.2*9</f>
        <v>316.8</v>
      </c>
      <c r="E91" s="742">
        <f>15*1.2*16</f>
        <v>288</v>
      </c>
      <c r="F91" s="794"/>
      <c r="G91" s="794"/>
      <c r="H91" s="794"/>
      <c r="I91" s="794"/>
      <c r="J91" s="794"/>
      <c r="K91" s="794"/>
      <c r="L91" s="794"/>
      <c r="M91" s="794"/>
      <c r="N91" s="794"/>
      <c r="O91" s="794"/>
      <c r="P91" s="794"/>
      <c r="Q91" s="794"/>
      <c r="R91" s="794"/>
      <c r="S91" s="794"/>
      <c r="T91" s="794"/>
      <c r="U91" s="794"/>
      <c r="V91" s="794"/>
      <c r="W91" s="794"/>
      <c r="X91" s="794"/>
      <c r="Y91" s="794"/>
      <c r="Z91" s="794"/>
      <c r="AA91" s="794"/>
      <c r="AB91" s="794"/>
      <c r="AC91" s="794"/>
      <c r="AD91" s="794"/>
      <c r="AE91" s="794"/>
      <c r="AF91" s="794"/>
      <c r="AG91" s="794"/>
      <c r="AH91" s="794"/>
      <c r="AI91" s="794"/>
      <c r="AJ91" s="768"/>
      <c r="AK91" s="768"/>
      <c r="AL91" s="768"/>
      <c r="AM91" s="768"/>
      <c r="AN91" s="768"/>
      <c r="AO91" s="768"/>
      <c r="AP91" s="768"/>
      <c r="AQ91" s="768"/>
      <c r="AR91" s="768"/>
      <c r="AS91" s="768"/>
      <c r="AT91" s="768"/>
      <c r="AU91" s="768"/>
      <c r="AV91" s="768"/>
      <c r="AW91" s="768"/>
      <c r="AX91" s="768"/>
      <c r="AY91" s="768"/>
      <c r="AZ91" s="768"/>
      <c r="BA91" s="768"/>
      <c r="BB91" s="768"/>
      <c r="BC91" s="768"/>
      <c r="BD91" s="768"/>
      <c r="BE91" s="768"/>
      <c r="BF91" s="768"/>
      <c r="BG91" s="768"/>
      <c r="BH91" s="768"/>
      <c r="BI91" s="768"/>
      <c r="BJ91" s="768"/>
      <c r="BK91" s="768"/>
      <c r="BL91" s="768"/>
      <c r="BM91" s="768"/>
      <c r="BN91" s="768"/>
      <c r="BO91" s="768"/>
      <c r="BP91" s="768"/>
      <c r="BQ91" s="768"/>
      <c r="BR91" s="768"/>
      <c r="BS91" s="768"/>
      <c r="BT91" s="768"/>
      <c r="BU91" s="768"/>
      <c r="BV91" s="768"/>
      <c r="BW91" s="768"/>
      <c r="BX91" s="768"/>
      <c r="BY91" s="768"/>
      <c r="BZ91" s="768"/>
      <c r="CA91" s="768"/>
      <c r="CB91" s="768"/>
      <c r="CC91" s="768"/>
      <c r="CD91" s="768"/>
      <c r="CE91" s="768"/>
      <c r="CF91" s="768"/>
      <c r="CG91" s="768"/>
      <c r="CH91" s="768"/>
      <c r="CI91" s="768"/>
      <c r="CJ91" s="768"/>
      <c r="CK91" s="768"/>
      <c r="CL91" s="768"/>
      <c r="CM91" s="768"/>
      <c r="CN91" s="768"/>
      <c r="CO91" s="768"/>
      <c r="CP91" s="768"/>
      <c r="CQ91" s="768"/>
      <c r="CR91" s="768"/>
      <c r="CS91" s="768"/>
      <c r="CT91" s="768"/>
      <c r="CU91" s="768"/>
      <c r="CV91" s="768"/>
      <c r="CW91" s="768"/>
      <c r="CX91" s="768"/>
      <c r="CY91" s="768"/>
      <c r="CZ91" s="768"/>
      <c r="DA91" s="768"/>
      <c r="DB91" s="768"/>
      <c r="DC91" s="768"/>
      <c r="DD91" s="768"/>
      <c r="DE91" s="768"/>
      <c r="DF91" s="768"/>
      <c r="DG91" s="768"/>
      <c r="DH91" s="768"/>
      <c r="DI91" s="768"/>
      <c r="DJ91" s="768"/>
      <c r="DK91" s="768"/>
      <c r="DL91" s="768"/>
      <c r="DM91" s="768"/>
      <c r="DN91" s="768"/>
      <c r="DO91" s="768"/>
      <c r="DP91" s="768"/>
      <c r="DQ91" s="768"/>
      <c r="DR91" s="768"/>
      <c r="DS91" s="768"/>
      <c r="DT91" s="768"/>
      <c r="DU91" s="768"/>
      <c r="DV91" s="768"/>
      <c r="DW91" s="768"/>
      <c r="DX91" s="768"/>
      <c r="DY91" s="768"/>
      <c r="DZ91" s="768"/>
      <c r="EA91" s="768"/>
      <c r="EB91" s="768"/>
      <c r="EC91" s="768"/>
      <c r="ED91" s="768"/>
      <c r="EE91" s="768"/>
      <c r="EF91" s="768"/>
      <c r="EG91" s="768"/>
      <c r="EH91" s="768"/>
      <c r="EI91" s="768"/>
      <c r="EJ91" s="768"/>
      <c r="EK91" s="768"/>
      <c r="EL91" s="768"/>
      <c r="EM91" s="768"/>
      <c r="EN91" s="768"/>
      <c r="EO91" s="768"/>
      <c r="EP91" s="768"/>
      <c r="EQ91" s="768"/>
      <c r="ER91" s="768"/>
      <c r="ES91" s="768"/>
      <c r="ET91" s="768"/>
      <c r="EU91" s="768"/>
      <c r="EV91" s="768"/>
      <c r="EW91" s="768"/>
      <c r="EX91" s="768"/>
      <c r="EY91" s="768"/>
      <c r="EZ91" s="768"/>
      <c r="FA91" s="768"/>
      <c r="FB91" s="768"/>
      <c r="FC91" s="768"/>
      <c r="FD91" s="768"/>
      <c r="FE91" s="768"/>
      <c r="FF91" s="768"/>
      <c r="FG91" s="768"/>
      <c r="FH91" s="768"/>
      <c r="FI91" s="768"/>
      <c r="FJ91" s="768"/>
      <c r="FK91" s="768"/>
      <c r="FL91" s="768"/>
      <c r="FM91" s="768"/>
      <c r="FN91" s="768"/>
      <c r="FO91" s="768"/>
      <c r="FP91" s="768"/>
      <c r="FQ91" s="768"/>
      <c r="FR91" s="768"/>
      <c r="FS91" s="768"/>
      <c r="FT91" s="768"/>
      <c r="FU91" s="768"/>
      <c r="FV91" s="768"/>
      <c r="FW91" s="768"/>
      <c r="FX91" s="768"/>
      <c r="FY91" s="768"/>
      <c r="FZ91" s="768"/>
      <c r="GA91" s="768"/>
      <c r="GB91" s="768"/>
      <c r="GC91" s="768"/>
      <c r="GD91" s="768"/>
      <c r="GE91" s="768"/>
      <c r="GF91" s="768"/>
      <c r="GG91" s="768"/>
      <c r="GH91" s="768"/>
      <c r="GI91" s="768"/>
      <c r="GJ91" s="768"/>
      <c r="GK91" s="768"/>
      <c r="GL91" s="768"/>
      <c r="GM91" s="768"/>
      <c r="GN91" s="768"/>
      <c r="GO91" s="768"/>
      <c r="GP91" s="768"/>
      <c r="GQ91" s="768"/>
      <c r="GR91" s="768"/>
      <c r="GS91" s="768"/>
      <c r="GT91" s="768"/>
      <c r="GU91" s="768"/>
      <c r="GV91" s="768"/>
      <c r="GW91" s="768"/>
      <c r="GX91" s="768"/>
      <c r="GY91" s="768"/>
      <c r="GZ91" s="768"/>
      <c r="HA91" s="768"/>
      <c r="HB91" s="768"/>
      <c r="HC91" s="768"/>
      <c r="HD91" s="768"/>
      <c r="HE91" s="768"/>
      <c r="HF91" s="768"/>
      <c r="HG91" s="768"/>
      <c r="HH91" s="768"/>
      <c r="HI91" s="768"/>
      <c r="HJ91" s="768"/>
      <c r="HK91" s="768"/>
      <c r="HL91" s="768"/>
      <c r="HM91" s="768"/>
      <c r="HN91" s="768"/>
      <c r="HO91" s="768"/>
      <c r="HP91" s="768"/>
      <c r="HQ91" s="768"/>
      <c r="HR91" s="768"/>
      <c r="HS91" s="768"/>
      <c r="HT91" s="768"/>
      <c r="HU91" s="768"/>
      <c r="HV91" s="768"/>
      <c r="HW91" s="768"/>
      <c r="HX91" s="768"/>
      <c r="HY91" s="768"/>
      <c r="HZ91" s="768"/>
      <c r="IA91" s="768"/>
      <c r="IB91" s="768"/>
      <c r="IC91" s="768"/>
      <c r="ID91" s="768"/>
      <c r="IE91" s="768"/>
      <c r="IF91" s="768"/>
      <c r="IG91" s="768"/>
      <c r="IH91" s="768"/>
      <c r="II91" s="768"/>
    </row>
    <row r="92" spans="1:243" ht="45" x14ac:dyDescent="0.25">
      <c r="A92" s="95" t="s">
        <v>543</v>
      </c>
      <c r="B92" s="54" t="s">
        <v>549</v>
      </c>
      <c r="C92" s="742" t="s">
        <v>17</v>
      </c>
      <c r="D92" s="742">
        <f>14.8*0.5*12</f>
        <v>88.800000000000011</v>
      </c>
      <c r="E92" s="742">
        <f>14.8*0.5*7</f>
        <v>51.800000000000004</v>
      </c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II92" s="768"/>
    </row>
    <row r="93" spans="1:243" ht="45" x14ac:dyDescent="0.25">
      <c r="A93" s="95" t="s">
        <v>551</v>
      </c>
      <c r="B93" s="54" t="s">
        <v>550</v>
      </c>
      <c r="C93" s="742" t="s">
        <v>17</v>
      </c>
      <c r="D93" s="742">
        <f>1.2*3*7</f>
        <v>25.199999999999996</v>
      </c>
      <c r="E93" s="742">
        <f>1.2*3*4</f>
        <v>14.399999999999999</v>
      </c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II93" s="768"/>
    </row>
    <row r="94" spans="1:243" ht="45" x14ac:dyDescent="0.25">
      <c r="A94" s="95" t="s">
        <v>544</v>
      </c>
      <c r="B94" s="54" t="s">
        <v>868</v>
      </c>
      <c r="C94" s="742" t="s">
        <v>17</v>
      </c>
      <c r="D94" s="742">
        <f>730+5*4</f>
        <v>750</v>
      </c>
      <c r="E94" s="742">
        <f>318+5*2</f>
        <v>328</v>
      </c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II94" s="768"/>
    </row>
    <row r="95" spans="1:243" ht="67.5" x14ac:dyDescent="0.25">
      <c r="A95" s="95" t="s">
        <v>116</v>
      </c>
      <c r="B95" s="54" t="s">
        <v>710</v>
      </c>
      <c r="C95" s="742" t="s">
        <v>17</v>
      </c>
      <c r="D95" s="742"/>
      <c r="E95" s="742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II95" s="768"/>
    </row>
    <row r="96" spans="1:243" ht="78.75" x14ac:dyDescent="0.25">
      <c r="A96" s="95" t="s">
        <v>545</v>
      </c>
      <c r="B96" s="54" t="s">
        <v>869</v>
      </c>
      <c r="C96" s="742" t="s">
        <v>17</v>
      </c>
      <c r="D96" s="742"/>
      <c r="E96" s="742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II96" s="768"/>
    </row>
    <row r="97" spans="1:243" ht="56.25" x14ac:dyDescent="0.25">
      <c r="A97" s="95" t="s">
        <v>546</v>
      </c>
      <c r="B97" s="54" t="s">
        <v>709</v>
      </c>
      <c r="C97" s="742" t="s">
        <v>17</v>
      </c>
      <c r="D97" s="742">
        <v>130</v>
      </c>
      <c r="E97" s="742">
        <v>65</v>
      </c>
      <c r="II97" s="768"/>
    </row>
    <row r="98" spans="1:243" x14ac:dyDescent="0.25">
      <c r="II98" s="768"/>
    </row>
    <row r="99" spans="1:243" x14ac:dyDescent="0.25">
      <c r="A99" s="796"/>
      <c r="B99" s="690"/>
      <c r="C99" s="690"/>
      <c r="II99" s="768"/>
    </row>
    <row r="100" spans="1:243" x14ac:dyDescent="0.25">
      <c r="A100" s="796"/>
      <c r="B100" s="690"/>
      <c r="C100" s="690"/>
      <c r="II100" s="768"/>
    </row>
    <row r="101" spans="1:243" x14ac:dyDescent="0.25">
      <c r="A101" s="796"/>
      <c r="B101" s="797"/>
      <c r="C101" s="797"/>
      <c r="II101" s="768"/>
    </row>
    <row r="102" spans="1:243" x14ac:dyDescent="0.25">
      <c r="A102" s="796"/>
      <c r="B102" s="690"/>
      <c r="C102" s="690"/>
      <c r="II102" s="768"/>
    </row>
    <row r="103" spans="1:243" x14ac:dyDescent="0.25">
      <c r="A103" s="796"/>
      <c r="B103" s="690"/>
      <c r="C103" s="690"/>
      <c r="II103" s="768"/>
    </row>
    <row r="104" spans="1:243" x14ac:dyDescent="0.25">
      <c r="A104" s="796"/>
      <c r="B104" s="690"/>
      <c r="C104" s="690"/>
      <c r="II104" s="768"/>
    </row>
    <row r="105" spans="1:243" x14ac:dyDescent="0.25">
      <c r="A105" s="796"/>
      <c r="B105" s="690"/>
      <c r="C105" s="690"/>
      <c r="II105" s="768"/>
    </row>
    <row r="106" spans="1:243" x14ac:dyDescent="0.25">
      <c r="A106" s="796"/>
      <c r="B106" s="690"/>
      <c r="C106" s="690"/>
      <c r="II106" s="768"/>
    </row>
    <row r="107" spans="1:243" x14ac:dyDescent="0.25">
      <c r="A107" s="796"/>
      <c r="B107" s="690"/>
      <c r="C107" s="690"/>
      <c r="II107" s="768"/>
    </row>
    <row r="108" spans="1:243" x14ac:dyDescent="0.25">
      <c r="A108" s="796"/>
      <c r="B108" s="690"/>
      <c r="C108" s="690"/>
      <c r="II108" s="768"/>
    </row>
    <row r="109" spans="1:243" x14ac:dyDescent="0.25">
      <c r="A109" s="796"/>
      <c r="B109" s="690"/>
      <c r="C109" s="690"/>
      <c r="II109" s="768"/>
    </row>
    <row r="110" spans="1:243" x14ac:dyDescent="0.25">
      <c r="II110" s="768"/>
    </row>
    <row r="111" spans="1:243" x14ac:dyDescent="0.25">
      <c r="II111" s="768"/>
    </row>
    <row r="112" spans="1:243" x14ac:dyDescent="0.25">
      <c r="II112" s="768"/>
    </row>
    <row r="113" spans="243:243" x14ac:dyDescent="0.25">
      <c r="II113" s="768"/>
    </row>
    <row r="114" spans="243:243" x14ac:dyDescent="0.25">
      <c r="II114" s="768"/>
    </row>
    <row r="115" spans="243:243" x14ac:dyDescent="0.25">
      <c r="II115" s="768"/>
    </row>
    <row r="116" spans="243:243" x14ac:dyDescent="0.25">
      <c r="II116" s="768"/>
    </row>
    <row r="117" spans="243:243" x14ac:dyDescent="0.25">
      <c r="II117" s="768"/>
    </row>
    <row r="118" spans="243:243" x14ac:dyDescent="0.25">
      <c r="II118" s="768"/>
    </row>
    <row r="119" spans="243:243" x14ac:dyDescent="0.25">
      <c r="II119" s="768"/>
    </row>
    <row r="120" spans="243:243" x14ac:dyDescent="0.25">
      <c r="II120" s="768"/>
    </row>
    <row r="121" spans="243:243" x14ac:dyDescent="0.25">
      <c r="II121" s="768"/>
    </row>
    <row r="122" spans="243:243" x14ac:dyDescent="0.25">
      <c r="II122" s="768"/>
    </row>
    <row r="123" spans="243:243" x14ac:dyDescent="0.25">
      <c r="II123" s="768"/>
    </row>
    <row r="124" spans="243:243" x14ac:dyDescent="0.25">
      <c r="II124" s="768"/>
    </row>
    <row r="125" spans="243:243" x14ac:dyDescent="0.25">
      <c r="II125" s="768"/>
    </row>
    <row r="126" spans="243:243" x14ac:dyDescent="0.25">
      <c r="II126" s="768"/>
    </row>
    <row r="127" spans="243:243" x14ac:dyDescent="0.25">
      <c r="II127" s="768"/>
    </row>
    <row r="128" spans="243:243" x14ac:dyDescent="0.25">
      <c r="II128" s="768"/>
    </row>
    <row r="129" spans="243:243" x14ac:dyDescent="0.25">
      <c r="II129" s="768"/>
    </row>
    <row r="130" spans="243:243" x14ac:dyDescent="0.25">
      <c r="II130" s="768"/>
    </row>
    <row r="131" spans="243:243" x14ac:dyDescent="0.25">
      <c r="II131" s="768"/>
    </row>
    <row r="132" spans="243:243" x14ac:dyDescent="0.25">
      <c r="II132" s="768"/>
    </row>
    <row r="133" spans="243:243" x14ac:dyDescent="0.25">
      <c r="II133" s="768"/>
    </row>
    <row r="134" spans="243:243" x14ac:dyDescent="0.25">
      <c r="II134" s="768"/>
    </row>
    <row r="135" spans="243:243" x14ac:dyDescent="0.25">
      <c r="II135" s="768"/>
    </row>
  </sheetData>
  <mergeCells count="14">
    <mergeCell ref="A90:A91"/>
    <mergeCell ref="B2:B3"/>
    <mergeCell ref="C2:E2"/>
    <mergeCell ref="F2:G2"/>
    <mergeCell ref="H2:J2"/>
    <mergeCell ref="K1:L1"/>
    <mergeCell ref="M1:N1"/>
    <mergeCell ref="O1:P1"/>
    <mergeCell ref="Q1:U1"/>
    <mergeCell ref="R2:R3"/>
    <mergeCell ref="S2:S3"/>
    <mergeCell ref="T2:T3"/>
    <mergeCell ref="U2:U3"/>
    <mergeCell ref="Q2:Q3"/>
  </mergeCells>
  <pageMargins left="0.7" right="0.7" top="0.75" bottom="0.75" header="0.3" footer="0.3"/>
  <pageSetup paperSize="9" scale="41" orientation="portrait" r:id="rId1"/>
  <rowBreaks count="1" manualBreakCount="1">
    <brk id="81" max="16383" man="1"/>
  </rowBreaks>
  <ignoredErrors>
    <ignoredError sqref="S5:S13 J23:L23 I17 I22:T22 J17:T17 I18:S18 I20:S20 I68:J68 I19:N19 P19:S19 I21:N21 P21:S21 I57:T6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Q34"/>
  <sheetViews>
    <sheetView view="pageBreakPreview" zoomScale="85" zoomScaleSheetLayoutView="85" workbookViewId="0">
      <selection activeCell="C20" sqref="C20"/>
    </sheetView>
  </sheetViews>
  <sheetFormatPr defaultColWidth="8.5703125" defaultRowHeight="11.25" x14ac:dyDescent="0.25"/>
  <cols>
    <col min="1" max="1" width="4.42578125" style="8" customWidth="1"/>
    <col min="2" max="2" width="4.140625" style="140" customWidth="1"/>
    <col min="3" max="3" width="49.28515625" style="150" customWidth="1"/>
    <col min="4" max="4" width="5.7109375" style="140" customWidth="1"/>
    <col min="5" max="5" width="8.42578125" style="140" customWidth="1"/>
    <col min="6" max="6" width="4.42578125" style="140" hidden="1" customWidth="1"/>
    <col min="7" max="7" width="7" style="94" customWidth="1"/>
    <col min="8" max="9" width="6.5703125" style="140" customWidth="1"/>
    <col min="10" max="10" width="7.5703125" style="140" customWidth="1"/>
    <col min="11" max="11" width="5.5703125" style="140" customWidth="1"/>
    <col min="12" max="12" width="8.7109375" style="140" customWidth="1"/>
    <col min="13" max="13" width="7" style="140" customWidth="1"/>
    <col min="14" max="14" width="6.85546875" style="140" customWidth="1"/>
    <col min="15" max="15" width="7.42578125" style="140" customWidth="1"/>
    <col min="16" max="16" width="8.5703125" style="140" customWidth="1"/>
    <col min="17" max="17" width="10.42578125" style="140" customWidth="1"/>
    <col min="18" max="16384" width="8.5703125" style="140"/>
  </cols>
  <sheetData>
    <row r="1" spans="1:17" s="3" customFormat="1" ht="12" thickBot="1" x14ac:dyDescent="0.3">
      <c r="A1" s="841" t="s">
        <v>6</v>
      </c>
      <c r="B1" s="841"/>
      <c r="C1" s="841"/>
      <c r="D1" s="841"/>
      <c r="E1" s="841"/>
      <c r="F1" s="841"/>
      <c r="G1" s="842"/>
      <c r="H1" s="1">
        <f>KPDV!A19</f>
        <v>7</v>
      </c>
      <c r="I1" s="2"/>
      <c r="J1" s="2"/>
      <c r="K1" s="2"/>
      <c r="L1" s="2"/>
      <c r="M1" s="2"/>
    </row>
    <row r="2" spans="1:17" s="3" customFormat="1" x14ac:dyDescent="0.25">
      <c r="A2" s="63"/>
      <c r="B2" s="735"/>
      <c r="C2" s="457" t="s">
        <v>561</v>
      </c>
      <c r="D2" s="735"/>
      <c r="E2" s="735"/>
      <c r="F2" s="735"/>
      <c r="G2" s="745"/>
      <c r="H2" s="184"/>
      <c r="I2" s="2"/>
      <c r="J2" s="2"/>
      <c r="K2" s="2"/>
      <c r="L2" s="2"/>
      <c r="M2" s="2"/>
    </row>
    <row r="3" spans="1:17" x14ac:dyDescent="0.25">
      <c r="A3" s="190" t="str">
        <f>nos</f>
        <v>Būves nosaukums:  Dzīvojamās māja</v>
      </c>
      <c r="B3" s="88"/>
      <c r="C3" s="5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5">
      <c r="A4" s="168" t="str">
        <f>obj</f>
        <v>Objekta nosaukums: Dzīvojamās ēkas fasādes vienkāršota atjaunošana</v>
      </c>
      <c r="B4" s="88"/>
      <c r="C4" s="5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25">
      <c r="A5" s="168" t="str">
        <f>adres</f>
        <v>Objekta adrese: Aisteres iela 7, Liepājā</v>
      </c>
      <c r="B5" s="88"/>
      <c r="C5" s="5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12" thickBot="1" x14ac:dyDescent="0.3">
      <c r="A6" s="168" t="str">
        <f>nr</f>
        <v>Pasūtījuma Nr.WS-41-17</v>
      </c>
      <c r="B6" s="88"/>
      <c r="C6" s="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12" thickBot="1" x14ac:dyDescent="0.3">
      <c r="A7" s="190"/>
      <c r="B7" s="7"/>
      <c r="C7" s="186" t="s">
        <v>695</v>
      </c>
      <c r="D7" s="162"/>
      <c r="E7" s="187" t="s">
        <v>142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6">
        <f>Q24</f>
        <v>0</v>
      </c>
    </row>
    <row r="8" spans="1:17" s="3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7"/>
    </row>
    <row r="9" spans="1:17" s="8" customFormat="1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8" customFormat="1" ht="69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8" customFormat="1" x14ac:dyDescent="0.25">
      <c r="A11" s="455">
        <v>1</v>
      </c>
      <c r="B11" s="456">
        <f>A11+1</f>
        <v>2</v>
      </c>
      <c r="C11" s="456">
        <f>B11+1</f>
        <v>3</v>
      </c>
      <c r="D11" s="456">
        <f>C11+1</f>
        <v>4</v>
      </c>
      <c r="E11" s="456">
        <f>D11+1</f>
        <v>5</v>
      </c>
      <c r="F11" s="459"/>
      <c r="G11" s="456">
        <f>E11+1</f>
        <v>6</v>
      </c>
      <c r="H11" s="456">
        <f t="shared" ref="H11:Q11" si="0">G11+1</f>
        <v>7</v>
      </c>
      <c r="I11" s="456">
        <f t="shared" si="0"/>
        <v>8</v>
      </c>
      <c r="J11" s="456">
        <f t="shared" si="0"/>
        <v>9</v>
      </c>
      <c r="K11" s="456">
        <f t="shared" si="0"/>
        <v>10</v>
      </c>
      <c r="L11" s="456">
        <f t="shared" si="0"/>
        <v>11</v>
      </c>
      <c r="M11" s="456">
        <f t="shared" si="0"/>
        <v>12</v>
      </c>
      <c r="N11" s="456">
        <f t="shared" si="0"/>
        <v>13</v>
      </c>
      <c r="O11" s="456">
        <f t="shared" si="0"/>
        <v>14</v>
      </c>
      <c r="P11" s="456">
        <f t="shared" si="0"/>
        <v>15</v>
      </c>
      <c r="Q11" s="456">
        <f t="shared" si="0"/>
        <v>16</v>
      </c>
    </row>
    <row r="12" spans="1:17" x14ac:dyDescent="0.25">
      <c r="A12" s="52">
        <f>IF(COUNTBLANK(B12)=1," ",COUNTA($B$12:B12))</f>
        <v>1</v>
      </c>
      <c r="B12" s="13" t="s">
        <v>14</v>
      </c>
      <c r="C12" s="14" t="s">
        <v>25</v>
      </c>
      <c r="D12" s="128" t="s">
        <v>26</v>
      </c>
      <c r="E12" s="230">
        <f>E17*0.01</f>
        <v>7.5</v>
      </c>
      <c r="F12" s="10"/>
      <c r="G12" s="209"/>
      <c r="H12" s="209"/>
      <c r="I12" s="209"/>
      <c r="J12" s="209"/>
      <c r="K12" s="209"/>
      <c r="L12" s="534"/>
      <c r="M12" s="534"/>
      <c r="N12" s="534"/>
      <c r="O12" s="534"/>
      <c r="P12" s="534"/>
      <c r="Q12" s="534"/>
    </row>
    <row r="13" spans="1:17" s="3" customFormat="1" x14ac:dyDescent="0.25">
      <c r="A13" s="52">
        <f>IF(COUNTBLANK(B13)=1," ",COUNTA($B$12:B13))</f>
        <v>2</v>
      </c>
      <c r="B13" s="13" t="s">
        <v>14</v>
      </c>
      <c r="C13" s="519" t="s">
        <v>521</v>
      </c>
      <c r="D13" s="231" t="s">
        <v>26</v>
      </c>
      <c r="E13" s="231">
        <f>3.2*3*0.025*10</f>
        <v>2.4000000000000004</v>
      </c>
      <c r="F13" s="136"/>
      <c r="G13" s="211"/>
      <c r="H13" s="211"/>
      <c r="I13" s="211"/>
      <c r="J13" s="211"/>
      <c r="K13" s="211"/>
      <c r="L13" s="534"/>
      <c r="M13" s="534"/>
      <c r="N13" s="534"/>
      <c r="O13" s="534"/>
      <c r="P13" s="534"/>
      <c r="Q13" s="534"/>
    </row>
    <row r="14" spans="1:17" s="3" customFormat="1" x14ac:dyDescent="0.25">
      <c r="A14" s="52">
        <f>IF(COUNTBLANK(B14)=1," ",COUNTA($B$12:B14))</f>
        <v>3</v>
      </c>
      <c r="B14" s="13" t="s">
        <v>14</v>
      </c>
      <c r="C14" s="519" t="s">
        <v>571</v>
      </c>
      <c r="D14" s="231" t="s">
        <v>26</v>
      </c>
      <c r="E14" s="231">
        <f>3*3*0.12*9</f>
        <v>9.7200000000000006</v>
      </c>
      <c r="F14" s="136"/>
      <c r="G14" s="211"/>
      <c r="H14" s="211"/>
      <c r="I14" s="211"/>
      <c r="J14" s="211"/>
      <c r="K14" s="211"/>
      <c r="L14" s="534"/>
      <c r="M14" s="534"/>
      <c r="N14" s="534"/>
      <c r="O14" s="534"/>
      <c r="P14" s="534"/>
      <c r="Q14" s="534"/>
    </row>
    <row r="15" spans="1:17" s="3" customFormat="1" ht="22.5" x14ac:dyDescent="0.25">
      <c r="A15" s="52">
        <f>IF(COUNTBLANK(B15)=1," ",COUNTA($B$12:B15))</f>
        <v>4</v>
      </c>
      <c r="B15" s="13" t="s">
        <v>14</v>
      </c>
      <c r="C15" s="14" t="s">
        <v>858</v>
      </c>
      <c r="D15" s="57" t="s">
        <v>17</v>
      </c>
      <c r="E15" s="520">
        <f>apjom!D94</f>
        <v>750</v>
      </c>
      <c r="F15" s="136"/>
      <c r="G15" s="211"/>
      <c r="H15" s="211"/>
      <c r="I15" s="212"/>
      <c r="J15" s="212"/>
      <c r="K15" s="211"/>
      <c r="L15" s="534"/>
      <c r="M15" s="534"/>
      <c r="N15" s="534"/>
      <c r="O15" s="534"/>
      <c r="P15" s="534"/>
      <c r="Q15" s="534"/>
    </row>
    <row r="16" spans="1:17" x14ac:dyDescent="0.25">
      <c r="A16" s="52" t="str">
        <f>IF(COUNTBLANK(B16)=1," ",COUNTA($B$12:B16))</f>
        <v xml:space="preserve"> </v>
      </c>
      <c r="B16" s="135"/>
      <c r="C16" s="99" t="s">
        <v>170</v>
      </c>
      <c r="D16" s="135" t="s">
        <v>23</v>
      </c>
      <c r="E16" s="60">
        <f>E15*F16</f>
        <v>225</v>
      </c>
      <c r="F16" s="136">
        <v>0.3</v>
      </c>
      <c r="G16" s="211"/>
      <c r="H16" s="211"/>
      <c r="I16" s="211"/>
      <c r="J16" s="211"/>
      <c r="K16" s="211"/>
      <c r="L16" s="534"/>
      <c r="M16" s="534"/>
      <c r="N16" s="534"/>
      <c r="O16" s="534"/>
      <c r="P16" s="534"/>
      <c r="Q16" s="534"/>
    </row>
    <row r="17" spans="1:17" ht="33.75" x14ac:dyDescent="0.25">
      <c r="A17" s="52">
        <f>IF(COUNTBLANK(B17)=1," ",COUNTA($B$12:B17))</f>
        <v>5</v>
      </c>
      <c r="B17" s="13" t="s">
        <v>14</v>
      </c>
      <c r="C17" s="14" t="s">
        <v>718</v>
      </c>
      <c r="D17" s="57" t="s">
        <v>17</v>
      </c>
      <c r="E17" s="85">
        <f>E15</f>
        <v>750</v>
      </c>
      <c r="F17" s="60"/>
      <c r="G17" s="211"/>
      <c r="H17" s="211"/>
      <c r="I17" s="212"/>
      <c r="J17" s="212"/>
      <c r="K17" s="211"/>
      <c r="L17" s="534"/>
      <c r="M17" s="534"/>
      <c r="N17" s="534"/>
      <c r="O17" s="534"/>
      <c r="P17" s="534"/>
      <c r="Q17" s="534"/>
    </row>
    <row r="18" spans="1:17" x14ac:dyDescent="0.25">
      <c r="A18" s="52" t="str">
        <f>IF(COUNTBLANK(B18)=1," ",COUNTA($B$12:B18))</f>
        <v xml:space="preserve"> </v>
      </c>
      <c r="B18" s="135"/>
      <c r="C18" s="16" t="s">
        <v>198</v>
      </c>
      <c r="D18" s="57" t="s">
        <v>17</v>
      </c>
      <c r="E18" s="60">
        <f>E17*F18</f>
        <v>825.00000000000011</v>
      </c>
      <c r="F18" s="60">
        <v>1.1000000000000001</v>
      </c>
      <c r="G18" s="211"/>
      <c r="H18" s="211"/>
      <c r="I18" s="211"/>
      <c r="J18" s="211"/>
      <c r="K18" s="211"/>
      <c r="L18" s="534"/>
      <c r="M18" s="534"/>
      <c r="N18" s="534"/>
      <c r="O18" s="534"/>
      <c r="P18" s="534"/>
      <c r="Q18" s="534"/>
    </row>
    <row r="19" spans="1:17" s="149" customFormat="1" x14ac:dyDescent="0.25">
      <c r="A19" s="52" t="str">
        <f>IF(COUNTBLANK(B19)=1," ",COUNTA($B$12:B19))</f>
        <v xml:space="preserve"> </v>
      </c>
      <c r="B19" s="135"/>
      <c r="C19" s="16" t="s">
        <v>199</v>
      </c>
      <c r="D19" s="135" t="s">
        <v>23</v>
      </c>
      <c r="E19" s="60">
        <f>E17*F19</f>
        <v>3750</v>
      </c>
      <c r="F19" s="60">
        <v>5</v>
      </c>
      <c r="G19" s="211"/>
      <c r="H19" s="211"/>
      <c r="I19" s="211"/>
      <c r="J19" s="211"/>
      <c r="K19" s="211"/>
      <c r="L19" s="534"/>
      <c r="M19" s="534"/>
      <c r="N19" s="534"/>
      <c r="O19" s="534"/>
      <c r="P19" s="534"/>
      <c r="Q19" s="534"/>
    </row>
    <row r="20" spans="1:17" s="149" customFormat="1" x14ac:dyDescent="0.25">
      <c r="A20" s="52">
        <f>IF(COUNTBLANK(B20)=1," ",COUNTA($B$12:B20))</f>
        <v>6</v>
      </c>
      <c r="B20" s="13" t="s">
        <v>14</v>
      </c>
      <c r="C20" s="556" t="s">
        <v>232</v>
      </c>
      <c r="D20" s="687" t="s">
        <v>203</v>
      </c>
      <c r="E20" s="687">
        <v>1</v>
      </c>
      <c r="F20" s="57"/>
      <c r="G20" s="312"/>
      <c r="H20" s="211"/>
      <c r="I20" s="444"/>
      <c r="J20" s="444"/>
      <c r="K20" s="312"/>
      <c r="L20" s="534"/>
      <c r="M20" s="534"/>
      <c r="N20" s="534"/>
      <c r="O20" s="534"/>
      <c r="P20" s="534"/>
      <c r="Q20" s="534"/>
    </row>
    <row r="21" spans="1:17" s="149" customFormat="1" x14ac:dyDescent="0.25">
      <c r="A21" s="52">
        <f>IF(COUNTBLANK(B21)=1," ",COUNTA($B$12:B21))</f>
        <v>7</v>
      </c>
      <c r="B21" s="13" t="s">
        <v>14</v>
      </c>
      <c r="C21" s="232" t="s">
        <v>30</v>
      </c>
      <c r="D21" s="231" t="s">
        <v>26</v>
      </c>
      <c r="E21" s="15">
        <f>E12+E13+E14</f>
        <v>19.62</v>
      </c>
      <c r="F21" s="12"/>
      <c r="G21" s="212"/>
      <c r="H21" s="211"/>
      <c r="I21" s="639"/>
      <c r="J21" s="640"/>
      <c r="K21" s="212"/>
      <c r="L21" s="534"/>
      <c r="M21" s="534"/>
      <c r="N21" s="534"/>
      <c r="O21" s="534"/>
      <c r="P21" s="534"/>
      <c r="Q21" s="534"/>
    </row>
    <row r="22" spans="1:17" s="3" customFormat="1" x14ac:dyDescent="0.25">
      <c r="A22" s="52" t="str">
        <f>IF(COUNTBLANK(B22)=1," ",COUNTA($B$12:B22))</f>
        <v xml:space="preserve"> </v>
      </c>
      <c r="B22" s="13"/>
      <c r="C22" s="232" t="s">
        <v>200</v>
      </c>
      <c r="D22" s="87" t="s">
        <v>32</v>
      </c>
      <c r="E22" s="10">
        <f>ROUNDUP(E21*F22,0)</f>
        <v>4</v>
      </c>
      <c r="F22" s="274">
        <v>0.16</v>
      </c>
      <c r="G22" s="212"/>
      <c r="H22" s="212"/>
      <c r="I22" s="639"/>
      <c r="J22" s="640"/>
      <c r="K22" s="212"/>
      <c r="L22" s="534"/>
      <c r="M22" s="534"/>
      <c r="N22" s="534"/>
      <c r="O22" s="534"/>
      <c r="P22" s="534"/>
      <c r="Q22" s="534"/>
    </row>
    <row r="23" spans="1:17" s="3" customFormat="1" x14ac:dyDescent="0.25">
      <c r="A23" s="744"/>
      <c r="B23" s="224"/>
      <c r="C23" s="307"/>
      <c r="D23" s="216"/>
      <c r="E23" s="22"/>
      <c r="F23" s="308"/>
      <c r="G23" s="214"/>
      <c r="H23" s="214"/>
      <c r="I23" s="215"/>
      <c r="J23" s="216"/>
      <c r="K23" s="214"/>
      <c r="L23" s="309"/>
      <c r="M23" s="20"/>
      <c r="N23" s="20"/>
      <c r="O23" s="20"/>
      <c r="P23" s="20"/>
      <c r="Q23" s="20"/>
    </row>
    <row r="24" spans="1:17" x14ac:dyDescent="0.25">
      <c r="A24" s="158" t="str">
        <f>IF(COUNTBLANK(I24)=1," ",COUNTA($I$22:I24))</f>
        <v xml:space="preserve"> </v>
      </c>
      <c r="B24" s="19"/>
      <c r="C24" s="217" t="s">
        <v>179</v>
      </c>
      <c r="D24" s="17"/>
      <c r="E24" s="162"/>
      <c r="F24" s="162"/>
      <c r="G24" s="17"/>
      <c r="H24" s="17"/>
      <c r="I24" s="17"/>
      <c r="J24" s="17"/>
      <c r="K24" s="17"/>
      <c r="L24" s="17"/>
      <c r="M24" s="20">
        <f>SUM(M12:M22)</f>
        <v>0</v>
      </c>
      <c r="N24" s="20">
        <f>SUM(N12:N22)</f>
        <v>0</v>
      </c>
      <c r="O24" s="20">
        <f>SUM(O12:O22)</f>
        <v>0</v>
      </c>
      <c r="P24" s="20">
        <f>SUM(P12:P22)</f>
        <v>0</v>
      </c>
      <c r="Q24" s="20">
        <f>SUM(Q12:Q22)</f>
        <v>0</v>
      </c>
    </row>
    <row r="25" spans="1:17" x14ac:dyDescent="0.25">
      <c r="M25" s="141"/>
      <c r="N25" s="141"/>
      <c r="O25" s="141"/>
      <c r="P25" s="141"/>
      <c r="Q25" s="141"/>
    </row>
    <row r="26" spans="1:17" x14ac:dyDescent="0.25">
      <c r="B26" s="140" t="str">
        <f>sas</f>
        <v>Sastādīja:</v>
      </c>
      <c r="C26" s="140"/>
      <c r="D26" s="94"/>
      <c r="E26" s="94"/>
      <c r="F26" s="94"/>
    </row>
    <row r="27" spans="1:17" x14ac:dyDescent="0.25">
      <c r="C27" s="358" t="s">
        <v>145</v>
      </c>
      <c r="F27" s="94"/>
    </row>
    <row r="28" spans="1:17" x14ac:dyDescent="0.25">
      <c r="B28" s="161"/>
      <c r="C28" s="763"/>
      <c r="F28" s="94"/>
    </row>
    <row r="29" spans="1:17" x14ac:dyDescent="0.25">
      <c r="B29" s="140" t="str">
        <f>dat</f>
        <v>Tāme sastādīta 201__. gada __.____________</v>
      </c>
      <c r="C29" s="140"/>
      <c r="F29" s="94"/>
    </row>
    <row r="30" spans="1:17" x14ac:dyDescent="0.25">
      <c r="B30" s="161"/>
      <c r="C30" s="161"/>
      <c r="F30" s="94"/>
    </row>
    <row r="31" spans="1:17" x14ac:dyDescent="0.25">
      <c r="B31" s="140" t="s">
        <v>147</v>
      </c>
      <c r="C31" s="140"/>
      <c r="D31" s="100"/>
      <c r="E31" s="100"/>
      <c r="F31" s="45"/>
    </row>
    <row r="32" spans="1:17" x14ac:dyDescent="0.25">
      <c r="C32" s="358" t="s">
        <v>145</v>
      </c>
      <c r="D32" s="100"/>
      <c r="E32" s="100"/>
      <c r="F32" s="45"/>
    </row>
    <row r="33" spans="2:6" x14ac:dyDescent="0.25">
      <c r="B33" s="161"/>
      <c r="C33" s="140" t="s">
        <v>148</v>
      </c>
      <c r="D33" s="100"/>
      <c r="E33" s="100"/>
      <c r="F33" s="45"/>
    </row>
    <row r="34" spans="2:6" x14ac:dyDescent="0.25">
      <c r="C34" s="144"/>
      <c r="D34" s="203"/>
    </row>
  </sheetData>
  <autoFilter ref="A11:Q22" xr:uid="{00000000-0009-0000-0000-000009000000}"/>
  <mergeCells count="8">
    <mergeCell ref="A1:G1"/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  <ignoredErrors>
    <ignoredError sqref="E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A34"/>
  <sheetViews>
    <sheetView view="pageBreakPreview" zoomScale="85" zoomScaleNormal="115" zoomScaleSheetLayoutView="85" workbookViewId="0">
      <selection activeCell="F2" sqref="F1:F1048576"/>
    </sheetView>
  </sheetViews>
  <sheetFormatPr defaultColWidth="8.5703125" defaultRowHeight="11.25" x14ac:dyDescent="0.25"/>
  <cols>
    <col min="1" max="1" width="4.42578125" style="8" customWidth="1"/>
    <col min="2" max="2" width="4.140625" style="140" customWidth="1"/>
    <col min="3" max="3" width="58.5703125" style="150" customWidth="1"/>
    <col min="4" max="4" width="5.7109375" style="140" customWidth="1"/>
    <col min="5" max="5" width="8.42578125" style="140" customWidth="1"/>
    <col min="6" max="6" width="4.42578125" style="140" hidden="1" customWidth="1"/>
    <col min="7" max="7" width="7" style="94" customWidth="1"/>
    <col min="8" max="9" width="6.5703125" style="140" customWidth="1"/>
    <col min="10" max="10" width="7.5703125" style="140" customWidth="1"/>
    <col min="11" max="11" width="5.5703125" style="140" customWidth="1"/>
    <col min="12" max="12" width="8.7109375" style="140" customWidth="1"/>
    <col min="13" max="13" width="7" style="140" customWidth="1"/>
    <col min="14" max="14" width="6.85546875" style="140" customWidth="1"/>
    <col min="15" max="15" width="7.42578125" style="140" customWidth="1"/>
    <col min="16" max="16" width="8.5703125" style="140" customWidth="1"/>
    <col min="17" max="17" width="10.42578125" style="140" customWidth="1"/>
    <col min="18" max="16384" width="8.5703125" style="140"/>
  </cols>
  <sheetData>
    <row r="1" spans="1:17" s="3" customFormat="1" ht="12" thickBot="1" x14ac:dyDescent="0.3">
      <c r="A1" s="841" t="s">
        <v>6</v>
      </c>
      <c r="B1" s="841"/>
      <c r="C1" s="841"/>
      <c r="D1" s="841"/>
      <c r="E1" s="841"/>
      <c r="F1" s="841"/>
      <c r="G1" s="842"/>
      <c r="H1" s="1">
        <f>KPDV!A20</f>
        <v>8</v>
      </c>
      <c r="I1" s="2"/>
      <c r="J1" s="2"/>
      <c r="K1" s="2"/>
      <c r="L1" s="2"/>
      <c r="M1" s="2"/>
    </row>
    <row r="2" spans="1:17" s="3" customFormat="1" x14ac:dyDescent="0.25">
      <c r="A2" s="63"/>
      <c r="B2" s="735"/>
      <c r="C2" s="457" t="s">
        <v>577</v>
      </c>
      <c r="D2" s="735"/>
      <c r="E2" s="735"/>
      <c r="F2" s="735"/>
      <c r="G2" s="745"/>
      <c r="H2" s="184"/>
      <c r="I2" s="2"/>
      <c r="J2" s="2"/>
      <c r="K2" s="2"/>
      <c r="L2" s="2"/>
      <c r="M2" s="2"/>
    </row>
    <row r="3" spans="1:17" x14ac:dyDescent="0.25">
      <c r="A3" s="190" t="str">
        <f>nos</f>
        <v>Būves nosaukums:  Dzīvojamās māja</v>
      </c>
      <c r="B3" s="88"/>
      <c r="C3" s="5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5">
      <c r="A4" s="168" t="str">
        <f>obj</f>
        <v>Objekta nosaukums: Dzīvojamās ēkas fasādes vienkāršota atjaunošana</v>
      </c>
      <c r="B4" s="88"/>
      <c r="C4" s="5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25">
      <c r="A5" s="168" t="str">
        <f>adres</f>
        <v>Objekta adrese: Aisteres iela 7, Liepājā</v>
      </c>
      <c r="B5" s="88"/>
      <c r="C5" s="5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12" thickBot="1" x14ac:dyDescent="0.3">
      <c r="A6" s="168" t="str">
        <f>nr</f>
        <v>Pasūtījuma Nr.WS-41-17</v>
      </c>
      <c r="B6" s="88"/>
      <c r="C6" s="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12" thickBot="1" x14ac:dyDescent="0.3">
      <c r="A7" s="190"/>
      <c r="B7" s="7"/>
      <c r="C7" s="186" t="s">
        <v>695</v>
      </c>
      <c r="D7" s="162"/>
      <c r="E7" s="187" t="s">
        <v>142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6">
        <f>Q24</f>
        <v>0</v>
      </c>
    </row>
    <row r="8" spans="1:17" s="3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7"/>
    </row>
    <row r="9" spans="1:17" s="8" customFormat="1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8" customFormat="1" ht="69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8" customFormat="1" x14ac:dyDescent="0.25">
      <c r="A11" s="455">
        <v>1</v>
      </c>
      <c r="B11" s="456">
        <f>A11+1</f>
        <v>2</v>
      </c>
      <c r="C11" s="456">
        <f>B11+1</f>
        <v>3</v>
      </c>
      <c r="D11" s="456">
        <f>C11+1</f>
        <v>4</v>
      </c>
      <c r="E11" s="456">
        <f>D11+1</f>
        <v>5</v>
      </c>
      <c r="F11" s="459"/>
      <c r="G11" s="456">
        <f>E11+1</f>
        <v>6</v>
      </c>
      <c r="H11" s="456">
        <f t="shared" ref="H11:Q11" si="0">G11+1</f>
        <v>7</v>
      </c>
      <c r="I11" s="456">
        <f t="shared" si="0"/>
        <v>8</v>
      </c>
      <c r="J11" s="456">
        <f t="shared" si="0"/>
        <v>9</v>
      </c>
      <c r="K11" s="456">
        <f t="shared" si="0"/>
        <v>10</v>
      </c>
      <c r="L11" s="456">
        <f t="shared" si="0"/>
        <v>11</v>
      </c>
      <c r="M11" s="456">
        <f t="shared" si="0"/>
        <v>12</v>
      </c>
      <c r="N11" s="456">
        <f t="shared" si="0"/>
        <v>13</v>
      </c>
      <c r="O11" s="456">
        <f t="shared" si="0"/>
        <v>14</v>
      </c>
      <c r="P11" s="456">
        <f t="shared" si="0"/>
        <v>15</v>
      </c>
      <c r="Q11" s="456">
        <f t="shared" si="0"/>
        <v>16</v>
      </c>
    </row>
    <row r="12" spans="1:17" x14ac:dyDescent="0.25">
      <c r="A12" s="52">
        <f>IF(COUNTBLANK(B12)=1," ",COUNTA($B$12:B12))</f>
        <v>1</v>
      </c>
      <c r="B12" s="13" t="s">
        <v>14</v>
      </c>
      <c r="C12" s="14" t="s">
        <v>25</v>
      </c>
      <c r="D12" s="128" t="s">
        <v>26</v>
      </c>
      <c r="E12" s="230">
        <f>E17*0.01</f>
        <v>3.2800000000000002</v>
      </c>
      <c r="F12" s="10"/>
      <c r="G12" s="209"/>
      <c r="H12" s="209"/>
      <c r="I12" s="209"/>
      <c r="J12" s="209"/>
      <c r="K12" s="209"/>
      <c r="L12" s="534"/>
      <c r="M12" s="534"/>
      <c r="N12" s="534"/>
      <c r="O12" s="534"/>
      <c r="P12" s="534"/>
      <c r="Q12" s="534"/>
    </row>
    <row r="13" spans="1:17" s="3" customFormat="1" x14ac:dyDescent="0.25">
      <c r="A13" s="52">
        <f>IF(COUNTBLANK(B13)=1," ",COUNTA($B$12:B13))</f>
        <v>2</v>
      </c>
      <c r="B13" s="13" t="s">
        <v>14</v>
      </c>
      <c r="C13" s="519" t="s">
        <v>521</v>
      </c>
      <c r="D13" s="231" t="s">
        <v>26</v>
      </c>
      <c r="E13" s="231">
        <f>3.2*3*0.025*24</f>
        <v>5.7600000000000016</v>
      </c>
      <c r="F13" s="136"/>
      <c r="G13" s="211"/>
      <c r="H13" s="211"/>
      <c r="I13" s="211"/>
      <c r="J13" s="211"/>
      <c r="K13" s="211"/>
      <c r="L13" s="534"/>
      <c r="M13" s="534"/>
      <c r="N13" s="534"/>
      <c r="O13" s="534"/>
      <c r="P13" s="534"/>
      <c r="Q13" s="534"/>
    </row>
    <row r="14" spans="1:17" s="3" customFormat="1" x14ac:dyDescent="0.25">
      <c r="A14" s="52">
        <f>IF(COUNTBLANK(B14)=1," ",COUNTA($B$12:B14))</f>
        <v>3</v>
      </c>
      <c r="B14" s="13" t="s">
        <v>14</v>
      </c>
      <c r="C14" s="519" t="s">
        <v>571</v>
      </c>
      <c r="D14" s="231" t="s">
        <v>26</v>
      </c>
      <c r="E14" s="231">
        <f>3*3*0.12*4</f>
        <v>4.32</v>
      </c>
      <c r="F14" s="136"/>
      <c r="G14" s="211"/>
      <c r="H14" s="211"/>
      <c r="I14" s="211"/>
      <c r="J14" s="211"/>
      <c r="K14" s="211"/>
      <c r="L14" s="534"/>
      <c r="M14" s="534"/>
      <c r="N14" s="534"/>
      <c r="O14" s="534"/>
      <c r="P14" s="534"/>
      <c r="Q14" s="534"/>
    </row>
    <row r="15" spans="1:17" s="3" customFormat="1" x14ac:dyDescent="0.25">
      <c r="A15" s="52">
        <f>IF(COUNTBLANK(B15)=1," ",COUNTA($B$12:B15))</f>
        <v>4</v>
      </c>
      <c r="B15" s="13" t="s">
        <v>14</v>
      </c>
      <c r="C15" s="14" t="s">
        <v>27</v>
      </c>
      <c r="D15" s="57" t="s">
        <v>17</v>
      </c>
      <c r="E15" s="520">
        <f>apjom!E94</f>
        <v>328</v>
      </c>
      <c r="F15" s="136"/>
      <c r="G15" s="211"/>
      <c r="H15" s="211"/>
      <c r="I15" s="212"/>
      <c r="J15" s="212"/>
      <c r="K15" s="211"/>
      <c r="L15" s="534"/>
      <c r="M15" s="534"/>
      <c r="N15" s="534"/>
      <c r="O15" s="534"/>
      <c r="P15" s="534"/>
      <c r="Q15" s="534"/>
    </row>
    <row r="16" spans="1:17" x14ac:dyDescent="0.25">
      <c r="A16" s="52" t="str">
        <f>IF(COUNTBLANK(B16)=1," ",COUNTA($B$12:B16))</f>
        <v xml:space="preserve"> </v>
      </c>
      <c r="B16" s="135"/>
      <c r="C16" s="99" t="s">
        <v>170</v>
      </c>
      <c r="D16" s="135" t="s">
        <v>23</v>
      </c>
      <c r="E16" s="60">
        <f>E15*F16</f>
        <v>98.399999999999991</v>
      </c>
      <c r="F16" s="136">
        <v>0.3</v>
      </c>
      <c r="G16" s="211"/>
      <c r="H16" s="211"/>
      <c r="I16" s="211"/>
      <c r="J16" s="211"/>
      <c r="K16" s="211"/>
      <c r="L16" s="534"/>
      <c r="M16" s="534"/>
      <c r="N16" s="534"/>
      <c r="O16" s="534"/>
      <c r="P16" s="534"/>
      <c r="Q16" s="534"/>
    </row>
    <row r="17" spans="1:27" ht="22.5" x14ac:dyDescent="0.25">
      <c r="A17" s="52">
        <f>IF(COUNTBLANK(B17)=1," ",COUNTA($B$12:B17))</f>
        <v>5</v>
      </c>
      <c r="B17" s="13" t="s">
        <v>14</v>
      </c>
      <c r="C17" s="14" t="s">
        <v>808</v>
      </c>
      <c r="D17" s="57" t="s">
        <v>17</v>
      </c>
      <c r="E17" s="85">
        <f>E15</f>
        <v>328</v>
      </c>
      <c r="F17" s="60"/>
      <c r="G17" s="211"/>
      <c r="H17" s="211"/>
      <c r="I17" s="212"/>
      <c r="J17" s="212"/>
      <c r="K17" s="211"/>
      <c r="L17" s="534"/>
      <c r="M17" s="534"/>
      <c r="N17" s="534"/>
      <c r="O17" s="534"/>
      <c r="P17" s="534"/>
      <c r="Q17" s="534"/>
    </row>
    <row r="18" spans="1:27" x14ac:dyDescent="0.25">
      <c r="A18" s="52" t="str">
        <f>IF(COUNTBLANK(B18)=1," ",COUNTA($B$12:B18))</f>
        <v xml:space="preserve"> </v>
      </c>
      <c r="B18" s="135"/>
      <c r="C18" s="16" t="s">
        <v>198</v>
      </c>
      <c r="D18" s="57" t="s">
        <v>17</v>
      </c>
      <c r="E18" s="60">
        <f>E17*F18</f>
        <v>360.8</v>
      </c>
      <c r="F18" s="60">
        <v>1.1000000000000001</v>
      </c>
      <c r="G18" s="211"/>
      <c r="H18" s="211"/>
      <c r="I18" s="211"/>
      <c r="J18" s="211"/>
      <c r="K18" s="211"/>
      <c r="L18" s="534"/>
      <c r="M18" s="534"/>
      <c r="N18" s="534"/>
      <c r="O18" s="534"/>
      <c r="P18" s="534"/>
      <c r="Q18" s="534"/>
    </row>
    <row r="19" spans="1:27" s="149" customFormat="1" x14ac:dyDescent="0.25">
      <c r="A19" s="52" t="str">
        <f>IF(COUNTBLANK(B19)=1," ",COUNTA($B$12:B19))</f>
        <v xml:space="preserve"> </v>
      </c>
      <c r="B19" s="135"/>
      <c r="C19" s="16" t="s">
        <v>199</v>
      </c>
      <c r="D19" s="135" t="s">
        <v>23</v>
      </c>
      <c r="E19" s="60">
        <f>E17*F19</f>
        <v>1640</v>
      </c>
      <c r="F19" s="60">
        <v>5</v>
      </c>
      <c r="G19" s="211"/>
      <c r="H19" s="211"/>
      <c r="I19" s="211"/>
      <c r="J19" s="211"/>
      <c r="K19" s="211"/>
      <c r="L19" s="534"/>
      <c r="M19" s="534"/>
      <c r="N19" s="534"/>
      <c r="O19" s="534"/>
      <c r="P19" s="534"/>
      <c r="Q19" s="534"/>
      <c r="R19" s="844"/>
      <c r="S19" s="844"/>
      <c r="T19" s="844"/>
      <c r="U19" s="844"/>
      <c r="V19" s="844"/>
      <c r="W19" s="844"/>
      <c r="X19" s="844"/>
      <c r="Y19" s="844"/>
      <c r="Z19" s="844"/>
      <c r="AA19" s="844"/>
    </row>
    <row r="20" spans="1:27" s="149" customFormat="1" x14ac:dyDescent="0.25">
      <c r="A20" s="52">
        <f>IF(COUNTBLANK(B20)=1," ",COUNTA($B$12:B20))</f>
        <v>6</v>
      </c>
      <c r="B20" s="13" t="s">
        <v>14</v>
      </c>
      <c r="C20" s="556" t="s">
        <v>232</v>
      </c>
      <c r="D20" s="687" t="s">
        <v>203</v>
      </c>
      <c r="E20" s="687">
        <v>1</v>
      </c>
      <c r="F20" s="57"/>
      <c r="G20" s="312"/>
      <c r="H20" s="211"/>
      <c r="I20" s="444"/>
      <c r="J20" s="444"/>
      <c r="K20" s="312"/>
      <c r="L20" s="534"/>
      <c r="M20" s="534"/>
      <c r="N20" s="534"/>
      <c r="O20" s="534"/>
      <c r="P20" s="534"/>
      <c r="Q20" s="534"/>
      <c r="R20" s="844"/>
      <c r="S20" s="844"/>
      <c r="T20" s="844"/>
      <c r="U20" s="844"/>
      <c r="V20" s="844"/>
      <c r="W20" s="844"/>
      <c r="X20" s="844"/>
      <c r="Y20" s="844"/>
      <c r="Z20" s="844"/>
      <c r="AA20" s="844"/>
    </row>
    <row r="21" spans="1:27" s="149" customFormat="1" x14ac:dyDescent="0.25">
      <c r="A21" s="52">
        <f>IF(COUNTBLANK(B21)=1," ",COUNTA($B$12:B21))</f>
        <v>7</v>
      </c>
      <c r="B21" s="13" t="s">
        <v>14</v>
      </c>
      <c r="C21" s="232" t="s">
        <v>30</v>
      </c>
      <c r="D21" s="231" t="s">
        <v>26</v>
      </c>
      <c r="E21" s="15">
        <f>E12+E13+E14</f>
        <v>13.360000000000003</v>
      </c>
      <c r="F21" s="12"/>
      <c r="G21" s="212"/>
      <c r="H21" s="211"/>
      <c r="I21" s="639"/>
      <c r="J21" s="640"/>
      <c r="K21" s="212"/>
      <c r="L21" s="534"/>
      <c r="M21" s="534"/>
      <c r="N21" s="534"/>
      <c r="O21" s="534"/>
      <c r="P21" s="534"/>
      <c r="Q21" s="534"/>
      <c r="R21" s="844"/>
      <c r="S21" s="844"/>
      <c r="T21" s="844"/>
      <c r="U21" s="844"/>
      <c r="V21" s="844"/>
      <c r="W21" s="844"/>
      <c r="X21" s="844"/>
      <c r="Y21" s="844"/>
      <c r="Z21" s="844"/>
      <c r="AA21" s="844"/>
    </row>
    <row r="22" spans="1:27" s="3" customFormat="1" x14ac:dyDescent="0.25">
      <c r="A22" s="52" t="str">
        <f>IF(COUNTBLANK(B22)=1," ",COUNTA($B$12:B22))</f>
        <v xml:space="preserve"> </v>
      </c>
      <c r="B22" s="13"/>
      <c r="C22" s="232" t="s">
        <v>200</v>
      </c>
      <c r="D22" s="87" t="s">
        <v>32</v>
      </c>
      <c r="E22" s="10">
        <f>ROUNDUP(E21*F22,0)</f>
        <v>3</v>
      </c>
      <c r="F22" s="274">
        <v>0.16</v>
      </c>
      <c r="G22" s="212"/>
      <c r="H22" s="212"/>
      <c r="I22" s="639"/>
      <c r="J22" s="640"/>
      <c r="K22" s="212"/>
      <c r="L22" s="534"/>
      <c r="M22" s="534"/>
      <c r="N22" s="534"/>
      <c r="O22" s="534"/>
      <c r="P22" s="534"/>
      <c r="Q22" s="534"/>
      <c r="R22" s="844"/>
      <c r="S22" s="844"/>
      <c r="T22" s="844"/>
      <c r="U22" s="844"/>
      <c r="V22" s="844"/>
      <c r="W22" s="844"/>
      <c r="X22" s="844"/>
      <c r="Y22" s="844"/>
      <c r="Z22" s="844"/>
      <c r="AA22" s="844"/>
    </row>
    <row r="23" spans="1:27" s="3" customFormat="1" x14ac:dyDescent="0.25">
      <c r="A23" s="744"/>
      <c r="B23" s="224"/>
      <c r="C23" s="307"/>
      <c r="D23" s="216"/>
      <c r="E23" s="22"/>
      <c r="F23" s="308"/>
      <c r="G23" s="214"/>
      <c r="H23" s="214"/>
      <c r="I23" s="215"/>
      <c r="J23" s="216"/>
      <c r="K23" s="214"/>
      <c r="L23" s="309"/>
      <c r="M23" s="20"/>
      <c r="N23" s="20"/>
      <c r="O23" s="20"/>
      <c r="P23" s="20"/>
      <c r="Q23" s="20"/>
      <c r="R23" s="844"/>
      <c r="S23" s="844"/>
      <c r="T23" s="844"/>
      <c r="U23" s="844"/>
      <c r="V23" s="844"/>
      <c r="W23" s="844"/>
      <c r="X23" s="844"/>
      <c r="Y23" s="844"/>
      <c r="Z23" s="844"/>
      <c r="AA23" s="844"/>
    </row>
    <row r="24" spans="1:27" x14ac:dyDescent="0.25">
      <c r="A24" s="158" t="str">
        <f>IF(COUNTBLANK(I24)=1," ",COUNTA($I$22:I24))</f>
        <v xml:space="preserve"> </v>
      </c>
      <c r="B24" s="19"/>
      <c r="C24" s="217" t="s">
        <v>179</v>
      </c>
      <c r="D24" s="17"/>
      <c r="E24" s="162"/>
      <c r="F24" s="162"/>
      <c r="G24" s="17"/>
      <c r="H24" s="17"/>
      <c r="I24" s="17"/>
      <c r="J24" s="17"/>
      <c r="K24" s="17"/>
      <c r="L24" s="17"/>
      <c r="M24" s="20">
        <f>SUM(M12:M22)</f>
        <v>0</v>
      </c>
      <c r="N24" s="20">
        <f>SUM(N12:N22)</f>
        <v>0</v>
      </c>
      <c r="O24" s="20">
        <f>SUM(O12:O22)</f>
        <v>0</v>
      </c>
      <c r="P24" s="20">
        <f>SUM(P12:P22)</f>
        <v>0</v>
      </c>
      <c r="Q24" s="20">
        <f>SUM(Q12:Q22)</f>
        <v>0</v>
      </c>
      <c r="R24" s="844"/>
      <c r="S24" s="844"/>
      <c r="T24" s="844"/>
      <c r="U24" s="844"/>
      <c r="V24" s="844"/>
      <c r="W24" s="844"/>
      <c r="X24" s="844"/>
      <c r="Y24" s="844"/>
      <c r="Z24" s="844"/>
      <c r="AA24" s="844"/>
    </row>
    <row r="25" spans="1:27" x14ac:dyDescent="0.25">
      <c r="M25" s="141"/>
      <c r="N25" s="141"/>
      <c r="O25" s="141"/>
      <c r="P25" s="141"/>
      <c r="Q25" s="141"/>
    </row>
    <row r="26" spans="1:27" x14ac:dyDescent="0.25">
      <c r="B26" s="140" t="str">
        <f>sas</f>
        <v>Sastādīja:</v>
      </c>
      <c r="C26" s="140"/>
      <c r="D26" s="94"/>
      <c r="E26" s="94"/>
      <c r="F26" s="94"/>
    </row>
    <row r="27" spans="1:27" x14ac:dyDescent="0.25">
      <c r="C27" s="358" t="s">
        <v>145</v>
      </c>
      <c r="F27" s="94"/>
    </row>
    <row r="28" spans="1:27" x14ac:dyDescent="0.25">
      <c r="B28" s="161"/>
      <c r="C28" s="763"/>
      <c r="F28" s="94"/>
    </row>
    <row r="29" spans="1:27" x14ac:dyDescent="0.25">
      <c r="B29" s="140" t="str">
        <f>dat</f>
        <v>Tāme sastādīta 201__. gada __.____________</v>
      </c>
      <c r="C29" s="140"/>
      <c r="F29" s="94"/>
    </row>
    <row r="30" spans="1:27" x14ac:dyDescent="0.25">
      <c r="B30" s="161"/>
      <c r="C30" s="161"/>
      <c r="F30" s="94"/>
    </row>
    <row r="31" spans="1:27" x14ac:dyDescent="0.25">
      <c r="B31" s="140" t="s">
        <v>147</v>
      </c>
      <c r="C31" s="140"/>
      <c r="D31" s="100"/>
      <c r="E31" s="100"/>
      <c r="F31" s="45"/>
    </row>
    <row r="32" spans="1:27" x14ac:dyDescent="0.25">
      <c r="C32" s="358" t="s">
        <v>145</v>
      </c>
      <c r="D32" s="100"/>
      <c r="E32" s="100"/>
      <c r="F32" s="45"/>
    </row>
    <row r="33" spans="2:6" x14ac:dyDescent="0.25">
      <c r="B33" s="161"/>
      <c r="C33" s="140" t="s">
        <v>148</v>
      </c>
      <c r="D33" s="100"/>
      <c r="E33" s="100"/>
      <c r="F33" s="45"/>
    </row>
    <row r="34" spans="2:6" x14ac:dyDescent="0.25">
      <c r="C34" s="144"/>
      <c r="D34" s="203"/>
    </row>
  </sheetData>
  <autoFilter ref="A11:Q22" xr:uid="{00000000-0009-0000-0000-00000A000000}"/>
  <mergeCells count="9">
    <mergeCell ref="R19:AA24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ignoredErrors>
    <ignoredError sqref="E1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Z196"/>
  <sheetViews>
    <sheetView view="pageBreakPreview" topLeftCell="A40" zoomScale="85" zoomScaleSheetLayoutView="85" workbookViewId="0">
      <selection activeCell="C70" sqref="C70"/>
    </sheetView>
  </sheetViews>
  <sheetFormatPr defaultColWidth="8.5703125" defaultRowHeight="11.25" x14ac:dyDescent="0.25"/>
  <cols>
    <col min="1" max="1" width="3.42578125" style="32" customWidth="1"/>
    <col min="2" max="2" width="4" style="100" customWidth="1"/>
    <col min="3" max="3" width="56.42578125" style="129" customWidth="1"/>
    <col min="4" max="4" width="5.85546875" style="100" customWidth="1"/>
    <col min="5" max="5" width="6.5703125" style="100" customWidth="1"/>
    <col min="6" max="6" width="4.85546875" style="100" hidden="1" customWidth="1"/>
    <col min="7" max="7" width="7" style="45" customWidth="1"/>
    <col min="8" max="9" width="6.5703125" style="100" customWidth="1"/>
    <col min="10" max="10" width="7.5703125" style="100" customWidth="1"/>
    <col min="11" max="11" width="5.5703125" style="100" customWidth="1"/>
    <col min="12" max="12" width="7.28515625" style="100" customWidth="1"/>
    <col min="13" max="13" width="7.5703125" style="100" customWidth="1"/>
    <col min="14" max="14" width="9.85546875" style="100" customWidth="1"/>
    <col min="15" max="15" width="12.28515625" style="100" customWidth="1"/>
    <col min="16" max="16" width="7.42578125" style="100" customWidth="1"/>
    <col min="17" max="17" width="10.42578125" style="100" customWidth="1"/>
    <col min="18" max="18" width="41.7109375" style="100" customWidth="1"/>
    <col min="19" max="16384" width="8.5703125" style="100"/>
  </cols>
  <sheetData>
    <row r="1" spans="1:234" s="27" customFormat="1" ht="12" thickBot="1" x14ac:dyDescent="0.3">
      <c r="A1" s="837" t="s">
        <v>6</v>
      </c>
      <c r="B1" s="837"/>
      <c r="C1" s="837"/>
      <c r="D1" s="837"/>
      <c r="E1" s="837"/>
      <c r="F1" s="837"/>
      <c r="G1" s="838"/>
      <c r="H1" s="25">
        <f>KPDV!A21</f>
        <v>9</v>
      </c>
      <c r="I1" s="26"/>
      <c r="J1" s="26"/>
      <c r="K1" s="26"/>
      <c r="L1" s="26"/>
      <c r="M1" s="26"/>
    </row>
    <row r="2" spans="1:234" s="27" customFormat="1" x14ac:dyDescent="0.25">
      <c r="A2" s="267"/>
      <c r="B2" s="731"/>
      <c r="C2" s="356" t="s">
        <v>454</v>
      </c>
      <c r="D2" s="731"/>
      <c r="E2" s="731"/>
      <c r="F2" s="731"/>
      <c r="G2" s="741"/>
      <c r="H2" s="183"/>
      <c r="I2" s="26"/>
      <c r="J2" s="26"/>
      <c r="K2" s="26"/>
      <c r="L2" s="26"/>
      <c r="M2" s="26"/>
    </row>
    <row r="3" spans="1:234" x14ac:dyDescent="0.25">
      <c r="A3" s="190" t="str">
        <f>nos</f>
        <v>Būves nosaukums:  Dzīvojamās māja</v>
      </c>
      <c r="B3" s="4"/>
      <c r="C3" s="2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34" x14ac:dyDescent="0.25">
      <c r="A4" s="168" t="str">
        <f>obj</f>
        <v>Objekta nosaukums: Dzīvojamās ēkas fasādes vienkāršota atjaunošana</v>
      </c>
      <c r="B4" s="4"/>
      <c r="C4" s="2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34" x14ac:dyDescent="0.25">
      <c r="A5" s="168" t="str">
        <f>adres</f>
        <v>Objekta adrese: Aisteres iela 7, Liepājā</v>
      </c>
      <c r="B5" s="4"/>
      <c r="C5" s="2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34" ht="12" thickBot="1" x14ac:dyDescent="0.3">
      <c r="A6" s="168" t="str">
        <f>nr</f>
        <v>Pasūtījuma Nr.WS-41-17</v>
      </c>
      <c r="B6" s="4"/>
      <c r="C6" s="2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34" ht="12" thickBot="1" x14ac:dyDescent="0.3">
      <c r="A7" s="190"/>
      <c r="B7" s="7"/>
      <c r="C7" s="186" t="s">
        <v>695</v>
      </c>
      <c r="D7" s="162"/>
      <c r="E7" s="187" t="s">
        <v>142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Q74</f>
        <v>0</v>
      </c>
    </row>
    <row r="8" spans="1:234" s="27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31"/>
    </row>
    <row r="9" spans="1:234" s="32" customFormat="1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234" s="32" customFormat="1" ht="69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234" s="32" customFormat="1" x14ac:dyDescent="0.25">
      <c r="A11" s="410">
        <v>1</v>
      </c>
      <c r="B11" s="33">
        <f>A11+1</f>
        <v>2</v>
      </c>
      <c r="C11" s="730">
        <f>B11+1</f>
        <v>3</v>
      </c>
      <c r="D11" s="33">
        <f>C11+1</f>
        <v>4</v>
      </c>
      <c r="E11" s="33">
        <f>D11+1</f>
        <v>5</v>
      </c>
      <c r="F11" s="145"/>
      <c r="G11" s="33">
        <f>E11+1</f>
        <v>6</v>
      </c>
      <c r="H11" s="33">
        <f t="shared" ref="H11:Q11" si="0">G11+1</f>
        <v>7</v>
      </c>
      <c r="I11" s="33">
        <f t="shared" si="0"/>
        <v>8</v>
      </c>
      <c r="J11" s="33">
        <f t="shared" si="0"/>
        <v>9</v>
      </c>
      <c r="K11" s="33">
        <f t="shared" si="0"/>
        <v>10</v>
      </c>
      <c r="L11" s="33">
        <f t="shared" si="0"/>
        <v>11</v>
      </c>
      <c r="M11" s="33">
        <f t="shared" si="0"/>
        <v>12</v>
      </c>
      <c r="N11" s="33">
        <f t="shared" si="0"/>
        <v>13</v>
      </c>
      <c r="O11" s="33">
        <f t="shared" si="0"/>
        <v>14</v>
      </c>
      <c r="P11" s="33">
        <f t="shared" si="0"/>
        <v>15</v>
      </c>
      <c r="Q11" s="33">
        <f t="shared" si="0"/>
        <v>16</v>
      </c>
    </row>
    <row r="12" spans="1:234" s="32" customFormat="1" ht="22.5" x14ac:dyDescent="0.25">
      <c r="A12" s="52" t="str">
        <f>IF(COUNTBLANK(B12)=1," ",COUNTA($B$12:B12))</f>
        <v xml:space="preserve"> </v>
      </c>
      <c r="B12" s="743"/>
      <c r="C12" s="633" t="s">
        <v>261</v>
      </c>
      <c r="D12" s="633"/>
      <c r="E12" s="633"/>
      <c r="F12" s="14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234" s="32" customFormat="1" ht="22.5" x14ac:dyDescent="0.25">
      <c r="A13" s="52">
        <f>IF(COUNTBLANK(B13)=1," ",COUNTA($B$12:B13))</f>
        <v>1</v>
      </c>
      <c r="B13" s="288" t="s">
        <v>14</v>
      </c>
      <c r="C13" s="464" t="s">
        <v>262</v>
      </c>
      <c r="D13" s="743" t="s">
        <v>32</v>
      </c>
      <c r="E13" s="743">
        <v>4</v>
      </c>
      <c r="F13" s="145"/>
      <c r="G13" s="229"/>
      <c r="H13" s="229"/>
      <c r="I13" s="229"/>
      <c r="J13" s="229"/>
      <c r="K13" s="229"/>
      <c r="L13" s="305"/>
      <c r="M13" s="275"/>
      <c r="N13" s="275"/>
      <c r="O13" s="275"/>
      <c r="P13" s="275"/>
      <c r="Q13" s="275"/>
    </row>
    <row r="14" spans="1:234" s="32" customFormat="1" ht="22.5" x14ac:dyDescent="0.25">
      <c r="A14" s="52">
        <f>IF(COUNTBLANK(B14)=1," ",COUNTA($B$12:B14))</f>
        <v>2</v>
      </c>
      <c r="B14" s="288" t="s">
        <v>14</v>
      </c>
      <c r="C14" s="464" t="s">
        <v>263</v>
      </c>
      <c r="D14" s="743" t="s">
        <v>32</v>
      </c>
      <c r="E14" s="743">
        <v>4</v>
      </c>
      <c r="F14" s="145"/>
      <c r="G14" s="421"/>
      <c r="H14" s="271"/>
      <c r="I14" s="421"/>
      <c r="J14" s="421"/>
      <c r="K14" s="421"/>
      <c r="L14" s="305"/>
      <c r="M14" s="275"/>
      <c r="N14" s="275"/>
      <c r="O14" s="275"/>
      <c r="P14" s="275"/>
      <c r="Q14" s="275"/>
    </row>
    <row r="15" spans="1:234" s="32" customFormat="1" ht="22.5" x14ac:dyDescent="0.25">
      <c r="A15" s="52">
        <f>IF(COUNTBLANK(B15)=1," ",COUNTA($B$12:B15))</f>
        <v>3</v>
      </c>
      <c r="B15" s="288" t="s">
        <v>14</v>
      </c>
      <c r="C15" s="464" t="s">
        <v>264</v>
      </c>
      <c r="D15" s="743" t="s">
        <v>265</v>
      </c>
      <c r="E15" s="53">
        <f>0.4*4</f>
        <v>1.6</v>
      </c>
      <c r="F15" s="291"/>
      <c r="G15" s="136"/>
      <c r="H15" s="271"/>
      <c r="I15" s="12"/>
      <c r="J15" s="306"/>
      <c r="K15" s="136"/>
      <c r="L15" s="305"/>
      <c r="M15" s="275"/>
      <c r="N15" s="275"/>
      <c r="O15" s="275"/>
      <c r="P15" s="275"/>
      <c r="Q15" s="275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2"/>
      <c r="BD15" s="422"/>
      <c r="BE15" s="422"/>
      <c r="BF15" s="422"/>
      <c r="BG15" s="422"/>
      <c r="BH15" s="422"/>
      <c r="BI15" s="422"/>
      <c r="BJ15" s="422"/>
      <c r="BK15" s="422"/>
      <c r="BL15" s="422"/>
      <c r="BM15" s="422"/>
      <c r="BN15" s="422"/>
      <c r="BO15" s="422"/>
      <c r="BP15" s="422"/>
      <c r="BQ15" s="422"/>
      <c r="BR15" s="422"/>
      <c r="BS15" s="422"/>
      <c r="BT15" s="422"/>
      <c r="BU15" s="422"/>
      <c r="BV15" s="422"/>
      <c r="BW15" s="422"/>
      <c r="BX15" s="422"/>
      <c r="BY15" s="422"/>
      <c r="BZ15" s="422"/>
      <c r="CA15" s="422"/>
      <c r="CB15" s="422"/>
      <c r="CC15" s="422"/>
      <c r="CD15" s="422"/>
      <c r="CE15" s="422"/>
      <c r="CF15" s="422"/>
      <c r="CG15" s="422"/>
      <c r="CH15" s="422"/>
      <c r="CI15" s="422"/>
      <c r="CJ15" s="422"/>
      <c r="CK15" s="422"/>
      <c r="CL15" s="422"/>
      <c r="CM15" s="422"/>
      <c r="CN15" s="422"/>
      <c r="CO15" s="422"/>
      <c r="CP15" s="422"/>
      <c r="CQ15" s="422"/>
      <c r="CR15" s="422"/>
      <c r="CS15" s="422"/>
      <c r="CT15" s="422"/>
      <c r="CU15" s="422"/>
      <c r="CV15" s="422"/>
      <c r="CW15" s="422"/>
      <c r="CX15" s="422"/>
      <c r="CY15" s="422"/>
      <c r="CZ15" s="422"/>
      <c r="DA15" s="422"/>
      <c r="DB15" s="422"/>
      <c r="DC15" s="422"/>
      <c r="DD15" s="422"/>
      <c r="DE15" s="422"/>
      <c r="DF15" s="422"/>
      <c r="DG15" s="422"/>
      <c r="DH15" s="422"/>
      <c r="DI15" s="422"/>
      <c r="DJ15" s="422"/>
      <c r="DK15" s="422"/>
      <c r="DL15" s="422"/>
      <c r="DM15" s="422"/>
      <c r="DN15" s="422"/>
      <c r="DO15" s="422"/>
      <c r="DP15" s="422"/>
      <c r="DQ15" s="422"/>
      <c r="DR15" s="422"/>
      <c r="DS15" s="422"/>
      <c r="DT15" s="422"/>
      <c r="DU15" s="422"/>
      <c r="DV15" s="422"/>
      <c r="DW15" s="422"/>
      <c r="DX15" s="422"/>
      <c r="DY15" s="422"/>
      <c r="DZ15" s="422"/>
      <c r="EA15" s="422"/>
      <c r="EB15" s="422"/>
      <c r="EC15" s="422"/>
      <c r="ED15" s="422"/>
      <c r="EE15" s="422"/>
      <c r="EF15" s="422"/>
      <c r="EG15" s="422"/>
      <c r="EH15" s="422"/>
      <c r="EI15" s="422"/>
      <c r="EJ15" s="422"/>
      <c r="EK15" s="422"/>
      <c r="EL15" s="422"/>
      <c r="EM15" s="422"/>
      <c r="EN15" s="422"/>
      <c r="EO15" s="422"/>
      <c r="EP15" s="422"/>
      <c r="EQ15" s="422"/>
      <c r="ER15" s="422"/>
      <c r="ES15" s="422"/>
      <c r="ET15" s="422"/>
      <c r="EU15" s="422"/>
      <c r="EV15" s="422"/>
      <c r="EW15" s="422"/>
      <c r="EX15" s="422"/>
      <c r="EY15" s="422"/>
      <c r="EZ15" s="422"/>
      <c r="FA15" s="422"/>
      <c r="FB15" s="422"/>
      <c r="FC15" s="422"/>
      <c r="FD15" s="422"/>
      <c r="FE15" s="422"/>
      <c r="FF15" s="422"/>
      <c r="FG15" s="422"/>
      <c r="FH15" s="422"/>
      <c r="FI15" s="422"/>
      <c r="FJ15" s="422"/>
      <c r="FK15" s="422"/>
      <c r="FL15" s="422"/>
      <c r="FM15" s="422"/>
      <c r="FN15" s="422"/>
      <c r="FO15" s="422"/>
      <c r="FP15" s="422"/>
      <c r="FQ15" s="422"/>
      <c r="FR15" s="422"/>
      <c r="FS15" s="422"/>
      <c r="FT15" s="422"/>
      <c r="FU15" s="422"/>
      <c r="FV15" s="422"/>
      <c r="FW15" s="422"/>
      <c r="FX15" s="422"/>
      <c r="FY15" s="422"/>
      <c r="FZ15" s="422"/>
      <c r="GA15" s="422"/>
      <c r="GB15" s="422"/>
      <c r="GC15" s="422"/>
      <c r="GD15" s="422"/>
      <c r="GE15" s="422"/>
      <c r="GF15" s="422"/>
      <c r="GG15" s="422"/>
      <c r="GH15" s="422"/>
      <c r="GI15" s="422"/>
      <c r="GJ15" s="422"/>
      <c r="GK15" s="422"/>
      <c r="GL15" s="422"/>
      <c r="GM15" s="422"/>
      <c r="GN15" s="422"/>
      <c r="GO15" s="422"/>
      <c r="GP15" s="422"/>
      <c r="GQ15" s="422"/>
      <c r="GR15" s="422"/>
      <c r="GS15" s="422"/>
      <c r="GT15" s="422"/>
      <c r="GU15" s="422"/>
      <c r="GV15" s="422"/>
      <c r="GW15" s="422"/>
      <c r="GX15" s="422"/>
      <c r="GY15" s="422"/>
      <c r="GZ15" s="422"/>
      <c r="HA15" s="422"/>
      <c r="HB15" s="422"/>
      <c r="HC15" s="422"/>
      <c r="HD15" s="422"/>
      <c r="HE15" s="422"/>
      <c r="HF15" s="422"/>
      <c r="HG15" s="422"/>
      <c r="HH15" s="422"/>
      <c r="HI15" s="422"/>
      <c r="HJ15" s="422"/>
      <c r="HK15" s="422"/>
      <c r="HL15" s="422"/>
      <c r="HM15" s="422"/>
      <c r="HN15" s="422"/>
      <c r="HO15" s="422"/>
      <c r="HP15" s="422"/>
      <c r="HQ15" s="422"/>
      <c r="HR15" s="422"/>
      <c r="HS15" s="422"/>
      <c r="HT15" s="422"/>
      <c r="HU15" s="422"/>
      <c r="HV15" s="422"/>
      <c r="HW15" s="422"/>
      <c r="HX15" s="422"/>
      <c r="HY15" s="422"/>
      <c r="HZ15" s="422"/>
    </row>
    <row r="16" spans="1:234" s="32" customFormat="1" x14ac:dyDescent="0.25">
      <c r="A16" s="52" t="str">
        <f>IF(COUNTBLANK(B16)=1," ",COUNTA($B$12:B16))</f>
        <v xml:space="preserve"> </v>
      </c>
      <c r="B16" s="268"/>
      <c r="C16" s="423" t="s">
        <v>429</v>
      </c>
      <c r="D16" s="300" t="s">
        <v>26</v>
      </c>
      <c r="E16" s="290">
        <f>ROUNDUP(E15*F16,2)</f>
        <v>0.24</v>
      </c>
      <c r="F16" s="291">
        <v>0.15</v>
      </c>
      <c r="G16" s="136"/>
      <c r="H16" s="136"/>
      <c r="I16" s="136"/>
      <c r="J16" s="136"/>
      <c r="K16" s="136"/>
      <c r="L16" s="305"/>
      <c r="M16" s="275"/>
      <c r="N16" s="275"/>
      <c r="O16" s="275"/>
      <c r="P16" s="275"/>
      <c r="Q16" s="275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  <c r="AY16" s="422"/>
      <c r="AZ16" s="422"/>
      <c r="BA16" s="422"/>
      <c r="BB16" s="422"/>
      <c r="BC16" s="422"/>
      <c r="BD16" s="422"/>
      <c r="BE16" s="422"/>
      <c r="BF16" s="422"/>
      <c r="BG16" s="422"/>
      <c r="BH16" s="422"/>
      <c r="BI16" s="422"/>
      <c r="BJ16" s="422"/>
      <c r="BK16" s="422"/>
      <c r="BL16" s="422"/>
      <c r="BM16" s="422"/>
      <c r="BN16" s="422"/>
      <c r="BO16" s="422"/>
      <c r="BP16" s="422"/>
      <c r="BQ16" s="422"/>
      <c r="BR16" s="422"/>
      <c r="BS16" s="422"/>
      <c r="BT16" s="422"/>
      <c r="BU16" s="422"/>
      <c r="BV16" s="422"/>
      <c r="BW16" s="422"/>
      <c r="BX16" s="422"/>
      <c r="BY16" s="422"/>
      <c r="BZ16" s="422"/>
      <c r="CA16" s="422"/>
      <c r="CB16" s="422"/>
      <c r="CC16" s="422"/>
      <c r="CD16" s="422"/>
      <c r="CE16" s="422"/>
      <c r="CF16" s="422"/>
      <c r="CG16" s="422"/>
      <c r="CH16" s="422"/>
      <c r="CI16" s="422"/>
      <c r="CJ16" s="422"/>
      <c r="CK16" s="422"/>
      <c r="CL16" s="422"/>
      <c r="CM16" s="422"/>
      <c r="CN16" s="422"/>
      <c r="CO16" s="422"/>
      <c r="CP16" s="422"/>
      <c r="CQ16" s="422"/>
      <c r="CR16" s="422"/>
      <c r="CS16" s="422"/>
      <c r="CT16" s="422"/>
      <c r="CU16" s="422"/>
      <c r="CV16" s="422"/>
      <c r="CW16" s="422"/>
      <c r="CX16" s="422"/>
      <c r="CY16" s="422"/>
      <c r="CZ16" s="422"/>
      <c r="DA16" s="422"/>
      <c r="DB16" s="422"/>
      <c r="DC16" s="422"/>
      <c r="DD16" s="422"/>
      <c r="DE16" s="422"/>
      <c r="DF16" s="422"/>
      <c r="DG16" s="422"/>
      <c r="DH16" s="422"/>
      <c r="DI16" s="422"/>
      <c r="DJ16" s="422"/>
      <c r="DK16" s="422"/>
      <c r="DL16" s="422"/>
      <c r="DM16" s="422"/>
      <c r="DN16" s="422"/>
      <c r="DO16" s="422"/>
      <c r="DP16" s="422"/>
      <c r="DQ16" s="422"/>
      <c r="DR16" s="422"/>
      <c r="DS16" s="422"/>
      <c r="DT16" s="422"/>
      <c r="DU16" s="422"/>
      <c r="DV16" s="422"/>
      <c r="DW16" s="422"/>
      <c r="DX16" s="422"/>
      <c r="DY16" s="422"/>
      <c r="DZ16" s="422"/>
      <c r="EA16" s="422"/>
      <c r="EB16" s="422"/>
      <c r="EC16" s="422"/>
      <c r="ED16" s="422"/>
      <c r="EE16" s="422"/>
      <c r="EF16" s="422"/>
      <c r="EG16" s="422"/>
      <c r="EH16" s="422"/>
      <c r="EI16" s="422"/>
      <c r="EJ16" s="422"/>
      <c r="EK16" s="422"/>
      <c r="EL16" s="422"/>
      <c r="EM16" s="422"/>
      <c r="EN16" s="422"/>
      <c r="EO16" s="422"/>
      <c r="EP16" s="422"/>
      <c r="EQ16" s="422"/>
      <c r="ER16" s="422"/>
      <c r="ES16" s="422"/>
      <c r="ET16" s="422"/>
      <c r="EU16" s="422"/>
      <c r="EV16" s="422"/>
      <c r="EW16" s="422"/>
      <c r="EX16" s="422"/>
      <c r="EY16" s="422"/>
      <c r="EZ16" s="422"/>
      <c r="FA16" s="422"/>
      <c r="FB16" s="422"/>
      <c r="FC16" s="422"/>
      <c r="FD16" s="422"/>
      <c r="FE16" s="422"/>
      <c r="FF16" s="422"/>
      <c r="FG16" s="422"/>
      <c r="FH16" s="422"/>
      <c r="FI16" s="422"/>
      <c r="FJ16" s="422"/>
      <c r="FK16" s="422"/>
      <c r="FL16" s="422"/>
      <c r="FM16" s="422"/>
      <c r="FN16" s="422"/>
      <c r="FO16" s="422"/>
      <c r="FP16" s="422"/>
      <c r="FQ16" s="422"/>
      <c r="FR16" s="422"/>
      <c r="FS16" s="422"/>
      <c r="FT16" s="422"/>
      <c r="FU16" s="422"/>
      <c r="FV16" s="422"/>
      <c r="FW16" s="422"/>
      <c r="FX16" s="422"/>
      <c r="FY16" s="422"/>
      <c r="FZ16" s="422"/>
      <c r="GA16" s="422"/>
      <c r="GB16" s="422"/>
      <c r="GC16" s="422"/>
      <c r="GD16" s="422"/>
      <c r="GE16" s="422"/>
      <c r="GF16" s="422"/>
      <c r="GG16" s="422"/>
      <c r="GH16" s="422"/>
      <c r="GI16" s="422"/>
      <c r="GJ16" s="422"/>
      <c r="GK16" s="422"/>
      <c r="GL16" s="422"/>
      <c r="GM16" s="422"/>
      <c r="GN16" s="422"/>
      <c r="GO16" s="422"/>
      <c r="GP16" s="422"/>
      <c r="GQ16" s="422"/>
      <c r="GR16" s="422"/>
      <c r="GS16" s="422"/>
      <c r="GT16" s="422"/>
      <c r="GU16" s="422"/>
      <c r="GV16" s="422"/>
      <c r="GW16" s="422"/>
      <c r="GX16" s="422"/>
      <c r="GY16" s="422"/>
      <c r="GZ16" s="422"/>
      <c r="HA16" s="422"/>
      <c r="HB16" s="422"/>
      <c r="HC16" s="422"/>
      <c r="HD16" s="422"/>
      <c r="HE16" s="422"/>
      <c r="HF16" s="422"/>
      <c r="HG16" s="422"/>
      <c r="HH16" s="422"/>
      <c r="HI16" s="422"/>
      <c r="HJ16" s="422"/>
      <c r="HK16" s="422"/>
      <c r="HL16" s="422"/>
      <c r="HM16" s="422"/>
      <c r="HN16" s="422"/>
      <c r="HO16" s="422"/>
      <c r="HP16" s="422"/>
      <c r="HQ16" s="422"/>
      <c r="HR16" s="422"/>
      <c r="HS16" s="422"/>
      <c r="HT16" s="422"/>
      <c r="HU16" s="422"/>
      <c r="HV16" s="422"/>
      <c r="HW16" s="422"/>
      <c r="HX16" s="422"/>
      <c r="HY16" s="422"/>
      <c r="HZ16" s="422"/>
    </row>
    <row r="17" spans="1:234" s="32" customFormat="1" x14ac:dyDescent="0.25">
      <c r="A17" s="52" t="str">
        <f>IF(COUNTBLANK(B17)=1," ",COUNTA($B$12:B17))</f>
        <v xml:space="preserve"> </v>
      </c>
      <c r="B17" s="268"/>
      <c r="C17" s="423" t="s">
        <v>430</v>
      </c>
      <c r="D17" s="300" t="s">
        <v>26</v>
      </c>
      <c r="E17" s="290">
        <f>ROUNDUP(E15*F17,2)</f>
        <v>1.49</v>
      </c>
      <c r="F17" s="291">
        <v>0.93</v>
      </c>
      <c r="G17" s="136"/>
      <c r="H17" s="136"/>
      <c r="I17" s="136"/>
      <c r="J17" s="136"/>
      <c r="K17" s="136"/>
      <c r="L17" s="305"/>
      <c r="M17" s="275"/>
      <c r="N17" s="275"/>
      <c r="O17" s="275"/>
      <c r="P17" s="275"/>
      <c r="Q17" s="275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424"/>
      <c r="AP17" s="424"/>
      <c r="AQ17" s="424"/>
      <c r="AR17" s="424"/>
      <c r="AS17" s="424"/>
      <c r="AT17" s="424"/>
      <c r="AU17" s="424"/>
      <c r="AV17" s="424"/>
      <c r="AW17" s="424"/>
      <c r="AX17" s="424"/>
      <c r="AY17" s="424"/>
      <c r="AZ17" s="424"/>
      <c r="BA17" s="424"/>
      <c r="BB17" s="424"/>
      <c r="BC17" s="424"/>
      <c r="BD17" s="424"/>
      <c r="BE17" s="424"/>
      <c r="BF17" s="424"/>
      <c r="BG17" s="424"/>
      <c r="BH17" s="424"/>
      <c r="BI17" s="424"/>
      <c r="BJ17" s="424"/>
      <c r="BK17" s="424"/>
      <c r="BL17" s="424"/>
      <c r="BM17" s="424"/>
      <c r="BN17" s="424"/>
      <c r="BO17" s="424"/>
      <c r="BP17" s="424"/>
      <c r="BQ17" s="424"/>
      <c r="BR17" s="424"/>
      <c r="BS17" s="424"/>
      <c r="BT17" s="424"/>
      <c r="BU17" s="424"/>
      <c r="BV17" s="424"/>
      <c r="BW17" s="424"/>
      <c r="BX17" s="424"/>
      <c r="BY17" s="424"/>
      <c r="BZ17" s="424"/>
      <c r="CA17" s="424"/>
      <c r="CB17" s="424"/>
      <c r="CC17" s="424"/>
      <c r="CD17" s="424"/>
      <c r="CE17" s="424"/>
      <c r="CF17" s="424"/>
      <c r="CG17" s="424"/>
      <c r="CH17" s="424"/>
      <c r="CI17" s="424"/>
      <c r="CJ17" s="424"/>
      <c r="CK17" s="424"/>
      <c r="CL17" s="424"/>
      <c r="CM17" s="424"/>
      <c r="CN17" s="424"/>
      <c r="CO17" s="424"/>
      <c r="CP17" s="424"/>
      <c r="CQ17" s="424"/>
      <c r="CR17" s="424"/>
      <c r="CS17" s="424"/>
      <c r="CT17" s="424"/>
      <c r="CU17" s="424"/>
      <c r="CV17" s="424"/>
      <c r="CW17" s="424"/>
      <c r="CX17" s="424"/>
      <c r="CY17" s="424"/>
      <c r="CZ17" s="424"/>
      <c r="DA17" s="424"/>
      <c r="DB17" s="424"/>
      <c r="DC17" s="424"/>
      <c r="DD17" s="424"/>
      <c r="DE17" s="424"/>
      <c r="DF17" s="424"/>
      <c r="DG17" s="424"/>
      <c r="DH17" s="424"/>
      <c r="DI17" s="424"/>
      <c r="DJ17" s="424"/>
      <c r="DK17" s="424"/>
      <c r="DL17" s="424"/>
      <c r="DM17" s="424"/>
      <c r="DN17" s="424"/>
      <c r="DO17" s="424"/>
      <c r="DP17" s="424"/>
      <c r="DQ17" s="424"/>
      <c r="DR17" s="424"/>
      <c r="DS17" s="424"/>
      <c r="DT17" s="424"/>
      <c r="DU17" s="424"/>
      <c r="DV17" s="424"/>
      <c r="DW17" s="424"/>
      <c r="DX17" s="424"/>
      <c r="DY17" s="424"/>
      <c r="DZ17" s="424"/>
      <c r="EA17" s="424"/>
      <c r="EB17" s="424"/>
      <c r="EC17" s="424"/>
      <c r="ED17" s="424"/>
      <c r="EE17" s="424"/>
      <c r="EF17" s="424"/>
      <c r="EG17" s="424"/>
      <c r="EH17" s="424"/>
      <c r="EI17" s="424"/>
      <c r="EJ17" s="424"/>
      <c r="EK17" s="424"/>
      <c r="EL17" s="424"/>
      <c r="EM17" s="424"/>
      <c r="EN17" s="424"/>
      <c r="EO17" s="424"/>
      <c r="EP17" s="424"/>
      <c r="EQ17" s="424"/>
      <c r="ER17" s="424"/>
      <c r="ES17" s="424"/>
      <c r="ET17" s="424"/>
      <c r="EU17" s="424"/>
      <c r="EV17" s="424"/>
      <c r="EW17" s="424"/>
      <c r="EX17" s="424"/>
      <c r="EY17" s="424"/>
      <c r="EZ17" s="424"/>
      <c r="FA17" s="424"/>
      <c r="FB17" s="424"/>
      <c r="FC17" s="424"/>
      <c r="FD17" s="424"/>
      <c r="FE17" s="424"/>
      <c r="FF17" s="424"/>
      <c r="FG17" s="424"/>
      <c r="FH17" s="424"/>
      <c r="FI17" s="424"/>
      <c r="FJ17" s="424"/>
      <c r="FK17" s="424"/>
      <c r="FL17" s="424"/>
      <c r="FM17" s="424"/>
      <c r="FN17" s="424"/>
      <c r="FO17" s="424"/>
      <c r="FP17" s="424"/>
      <c r="FQ17" s="424"/>
      <c r="FR17" s="424"/>
      <c r="FS17" s="424"/>
      <c r="FT17" s="424"/>
      <c r="FU17" s="424"/>
      <c r="FV17" s="424"/>
      <c r="FW17" s="424"/>
      <c r="FX17" s="424"/>
      <c r="FY17" s="424"/>
      <c r="FZ17" s="424"/>
      <c r="GA17" s="424"/>
      <c r="GB17" s="424"/>
      <c r="GC17" s="424"/>
      <c r="GD17" s="424"/>
      <c r="GE17" s="424"/>
      <c r="GF17" s="424"/>
      <c r="GG17" s="424"/>
      <c r="GH17" s="424"/>
      <c r="GI17" s="424"/>
      <c r="GJ17" s="424"/>
      <c r="GK17" s="424"/>
      <c r="GL17" s="424"/>
      <c r="GM17" s="424"/>
      <c r="GN17" s="424"/>
      <c r="GO17" s="424"/>
      <c r="GP17" s="424"/>
      <c r="GQ17" s="424"/>
      <c r="GR17" s="424"/>
      <c r="GS17" s="424"/>
      <c r="GT17" s="424"/>
      <c r="GU17" s="424"/>
      <c r="GV17" s="424"/>
      <c r="GW17" s="424"/>
      <c r="GX17" s="424"/>
      <c r="GY17" s="424"/>
      <c r="GZ17" s="424"/>
      <c r="HA17" s="424"/>
      <c r="HB17" s="424"/>
      <c r="HC17" s="424"/>
      <c r="HD17" s="424"/>
      <c r="HE17" s="424"/>
      <c r="HF17" s="424"/>
      <c r="HG17" s="424"/>
      <c r="HH17" s="424"/>
      <c r="HI17" s="424"/>
      <c r="HJ17" s="424"/>
      <c r="HK17" s="424"/>
      <c r="HL17" s="424"/>
      <c r="HM17" s="424"/>
      <c r="HN17" s="424"/>
      <c r="HO17" s="424"/>
      <c r="HP17" s="424"/>
      <c r="HQ17" s="424"/>
      <c r="HR17" s="424"/>
      <c r="HS17" s="424"/>
      <c r="HT17" s="424"/>
      <c r="HU17" s="424"/>
      <c r="HV17" s="424"/>
      <c r="HW17" s="424"/>
      <c r="HX17" s="424"/>
      <c r="HY17" s="424"/>
      <c r="HZ17" s="424"/>
    </row>
    <row r="18" spans="1:234" s="32" customFormat="1" x14ac:dyDescent="0.25">
      <c r="A18" s="52" t="str">
        <f>IF(COUNTBLANK(B18)=1," ",COUNTA($B$12:B18))</f>
        <v xml:space="preserve"> </v>
      </c>
      <c r="B18" s="268"/>
      <c r="C18" s="423" t="s">
        <v>38</v>
      </c>
      <c r="D18" s="268" t="s">
        <v>211</v>
      </c>
      <c r="E18" s="290">
        <f>ROUNDUP(E15*F18,0)</f>
        <v>1</v>
      </c>
      <c r="F18" s="291">
        <v>0.25</v>
      </c>
      <c r="G18" s="136"/>
      <c r="H18" s="136"/>
      <c r="I18" s="136"/>
      <c r="J18" s="136"/>
      <c r="K18" s="136"/>
      <c r="L18" s="305"/>
      <c r="M18" s="275"/>
      <c r="N18" s="275"/>
      <c r="O18" s="275"/>
      <c r="P18" s="275"/>
      <c r="Q18" s="275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</row>
    <row r="19" spans="1:234" s="32" customFormat="1" ht="22.5" x14ac:dyDescent="0.25">
      <c r="A19" s="52">
        <f>IF(COUNTBLANK(B19)=1," ",COUNTA($B$12:B19))</f>
        <v>4</v>
      </c>
      <c r="B19" s="288" t="s">
        <v>14</v>
      </c>
      <c r="C19" s="464" t="s">
        <v>266</v>
      </c>
      <c r="D19" s="743" t="s">
        <v>32</v>
      </c>
      <c r="E19" s="377">
        <v>40</v>
      </c>
      <c r="F19" s="145"/>
      <c r="G19" s="229"/>
      <c r="H19" s="271"/>
      <c r="I19" s="229"/>
      <c r="J19" s="229"/>
      <c r="K19" s="229"/>
      <c r="L19" s="305"/>
      <c r="M19" s="275"/>
      <c r="N19" s="275"/>
      <c r="O19" s="275"/>
      <c r="P19" s="275"/>
      <c r="Q19" s="275"/>
    </row>
    <row r="20" spans="1:234" s="32" customFormat="1" ht="22.5" x14ac:dyDescent="0.25">
      <c r="A20" s="52">
        <f>IF(COUNTBLANK(B20)=1," ",COUNTA($B$12:B20))</f>
        <v>5</v>
      </c>
      <c r="B20" s="288" t="s">
        <v>14</v>
      </c>
      <c r="C20" s="464" t="s">
        <v>857</v>
      </c>
      <c r="D20" s="743" t="s">
        <v>17</v>
      </c>
      <c r="E20" s="53">
        <v>788</v>
      </c>
      <c r="F20" s="145"/>
      <c r="G20" s="229"/>
      <c r="H20" s="271"/>
      <c r="I20" s="229"/>
      <c r="J20" s="229"/>
      <c r="K20" s="229"/>
      <c r="L20" s="305"/>
      <c r="M20" s="275"/>
      <c r="N20" s="275"/>
      <c r="O20" s="275"/>
      <c r="P20" s="275"/>
      <c r="Q20" s="275"/>
    </row>
    <row r="21" spans="1:234" s="32" customFormat="1" ht="22.5" x14ac:dyDescent="0.25">
      <c r="A21" s="52">
        <f>IF(COUNTBLANK(B21)=1," ",COUNTA($B$12:B21))</f>
        <v>6</v>
      </c>
      <c r="B21" s="288" t="s">
        <v>14</v>
      </c>
      <c r="C21" s="464" t="s">
        <v>706</v>
      </c>
      <c r="D21" s="743" t="s">
        <v>17</v>
      </c>
      <c r="E21" s="53">
        <v>906</v>
      </c>
      <c r="F21" s="145"/>
      <c r="G21" s="421"/>
      <c r="H21" s="271"/>
      <c r="I21" s="421"/>
      <c r="J21" s="421"/>
      <c r="K21" s="421"/>
      <c r="L21" s="305"/>
      <c r="M21" s="275"/>
      <c r="N21" s="275"/>
      <c r="O21" s="275"/>
      <c r="P21" s="275"/>
      <c r="Q21" s="275"/>
    </row>
    <row r="22" spans="1:234" s="32" customFormat="1" ht="22.5" x14ac:dyDescent="0.25">
      <c r="A22" s="52">
        <f>IF(COUNTBLANK(B22)=1," ",COUNTA($B$12:B22))</f>
        <v>7</v>
      </c>
      <c r="B22" s="288" t="s">
        <v>14</v>
      </c>
      <c r="C22" s="464" t="s">
        <v>711</v>
      </c>
      <c r="D22" s="743" t="s">
        <v>26</v>
      </c>
      <c r="E22" s="53">
        <f>0.35*788</f>
        <v>275.79999999999995</v>
      </c>
      <c r="F22" s="291"/>
      <c r="G22" s="34"/>
      <c r="H22" s="271"/>
      <c r="I22" s="34"/>
      <c r="J22" s="306"/>
      <c r="K22" s="34"/>
      <c r="L22" s="305"/>
      <c r="M22" s="275"/>
      <c r="N22" s="275"/>
      <c r="O22" s="275"/>
      <c r="P22" s="275"/>
      <c r="Q22" s="27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5"/>
      <c r="DA22" s="425"/>
      <c r="DB22" s="425"/>
      <c r="DC22" s="425"/>
      <c r="DD22" s="425"/>
      <c r="DE22" s="425"/>
      <c r="DF22" s="425"/>
      <c r="DG22" s="425"/>
      <c r="DH22" s="425"/>
      <c r="DI22" s="425"/>
      <c r="DJ22" s="425"/>
      <c r="DK22" s="425"/>
      <c r="DL22" s="425"/>
      <c r="DM22" s="425"/>
      <c r="DN22" s="425"/>
      <c r="DO22" s="425"/>
      <c r="DP22" s="425"/>
      <c r="DQ22" s="425"/>
      <c r="DR22" s="425"/>
      <c r="DS22" s="425"/>
      <c r="DT22" s="425"/>
      <c r="DU22" s="425"/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  <c r="EF22" s="425"/>
      <c r="EG22" s="425"/>
      <c r="EH22" s="425"/>
      <c r="EI22" s="425"/>
      <c r="EJ22" s="425"/>
      <c r="EK22" s="425"/>
      <c r="EL22" s="425"/>
      <c r="EM22" s="425"/>
      <c r="EN22" s="425"/>
      <c r="EO22" s="425"/>
      <c r="EP22" s="425"/>
      <c r="EQ22" s="425"/>
      <c r="ER22" s="425"/>
      <c r="ES22" s="425"/>
      <c r="ET22" s="425"/>
      <c r="EU22" s="425"/>
      <c r="EV22" s="425"/>
      <c r="EW22" s="425"/>
      <c r="EX22" s="425"/>
      <c r="EY22" s="425"/>
      <c r="EZ22" s="425"/>
      <c r="FA22" s="425"/>
      <c r="FB22" s="425"/>
      <c r="FC22" s="425"/>
      <c r="FD22" s="425"/>
      <c r="FE22" s="425"/>
      <c r="FF22" s="425"/>
      <c r="FG22" s="425"/>
      <c r="FH22" s="425"/>
      <c r="FI22" s="425"/>
      <c r="FJ22" s="425"/>
      <c r="FK22" s="425"/>
      <c r="FL22" s="425"/>
      <c r="FM22" s="425"/>
      <c r="FN22" s="425"/>
      <c r="FO22" s="425"/>
      <c r="FP22" s="425"/>
      <c r="FQ22" s="425"/>
      <c r="FR22" s="425"/>
      <c r="FS22" s="425"/>
      <c r="FT22" s="425"/>
      <c r="FU22" s="425"/>
      <c r="FV22" s="425"/>
      <c r="FW22" s="425"/>
      <c r="FX22" s="425"/>
      <c r="FY22" s="425"/>
      <c r="FZ22" s="425"/>
      <c r="GA22" s="425"/>
      <c r="GB22" s="425"/>
      <c r="GC22" s="425"/>
      <c r="GD22" s="425"/>
      <c r="GE22" s="425"/>
      <c r="GF22" s="425"/>
      <c r="GG22" s="425"/>
      <c r="GH22" s="425"/>
      <c r="GI22" s="425"/>
      <c r="GJ22" s="425"/>
      <c r="GK22" s="425"/>
      <c r="GL22" s="425"/>
      <c r="GM22" s="425"/>
      <c r="GN22" s="425"/>
      <c r="GO22" s="425"/>
      <c r="GP22" s="425"/>
      <c r="GQ22" s="425"/>
      <c r="GR22" s="425"/>
      <c r="GS22" s="425"/>
      <c r="GT22" s="425"/>
      <c r="GU22" s="425"/>
      <c r="GV22" s="425"/>
      <c r="GW22" s="425"/>
      <c r="GX22" s="425"/>
      <c r="GY22" s="425"/>
      <c r="GZ22" s="425"/>
      <c r="HA22" s="425"/>
      <c r="HB22" s="425"/>
      <c r="HC22" s="425"/>
      <c r="HD22" s="425"/>
      <c r="HE22" s="425"/>
      <c r="HF22" s="425"/>
      <c r="HG22" s="425"/>
      <c r="HH22" s="425"/>
      <c r="HI22" s="425"/>
      <c r="HJ22" s="425"/>
      <c r="HK22" s="425"/>
      <c r="HL22" s="425"/>
      <c r="HM22" s="425"/>
      <c r="HN22" s="425"/>
      <c r="HO22" s="425"/>
      <c r="HP22" s="425"/>
      <c r="HQ22" s="425"/>
      <c r="HR22" s="425"/>
      <c r="HS22" s="425"/>
      <c r="HT22" s="425"/>
      <c r="HU22" s="425"/>
      <c r="HV22" s="425"/>
      <c r="HW22" s="425"/>
      <c r="HX22" s="425"/>
      <c r="HY22" s="425"/>
      <c r="HZ22" s="425"/>
    </row>
    <row r="23" spans="1:234" s="32" customFormat="1" x14ac:dyDescent="0.25">
      <c r="A23" s="52" t="str">
        <f>IF(COUNTBLANK(B23)=1," ",COUNTA($B$12:B23))</f>
        <v xml:space="preserve"> </v>
      </c>
      <c r="B23" s="291"/>
      <c r="C23" s="426" t="s">
        <v>431</v>
      </c>
      <c r="D23" s="290" t="s">
        <v>26</v>
      </c>
      <c r="E23" s="291">
        <f>E22*F23</f>
        <v>317.1699999999999</v>
      </c>
      <c r="F23" s="291">
        <v>1.1499999999999999</v>
      </c>
      <c r="G23" s="34"/>
      <c r="H23" s="60"/>
      <c r="I23" s="34"/>
      <c r="J23" s="34"/>
      <c r="K23" s="34"/>
      <c r="L23" s="305"/>
      <c r="M23" s="275"/>
      <c r="N23" s="275"/>
      <c r="O23" s="275"/>
      <c r="P23" s="275"/>
      <c r="Q23" s="27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5"/>
      <c r="CE23" s="425"/>
      <c r="CF23" s="425"/>
      <c r="CG23" s="425"/>
      <c r="CH23" s="425"/>
      <c r="CI23" s="425"/>
      <c r="CJ23" s="425"/>
      <c r="CK23" s="425"/>
      <c r="CL23" s="425"/>
      <c r="CM23" s="425"/>
      <c r="CN23" s="425"/>
      <c r="CO23" s="425"/>
      <c r="CP23" s="425"/>
      <c r="CQ23" s="425"/>
      <c r="CR23" s="425"/>
      <c r="CS23" s="425"/>
      <c r="CT23" s="425"/>
      <c r="CU23" s="425"/>
      <c r="CV23" s="425"/>
      <c r="CW23" s="425"/>
      <c r="CX23" s="425"/>
      <c r="CY23" s="425"/>
      <c r="CZ23" s="425"/>
      <c r="DA23" s="425"/>
      <c r="DB23" s="425"/>
      <c r="DC23" s="425"/>
      <c r="DD23" s="425"/>
      <c r="DE23" s="425"/>
      <c r="DF23" s="425"/>
      <c r="DG23" s="425"/>
      <c r="DH23" s="425"/>
      <c r="DI23" s="425"/>
      <c r="DJ23" s="425"/>
      <c r="DK23" s="425"/>
      <c r="DL23" s="425"/>
      <c r="DM23" s="425"/>
      <c r="DN23" s="425"/>
      <c r="DO23" s="425"/>
      <c r="DP23" s="425"/>
      <c r="DQ23" s="425"/>
      <c r="DR23" s="425"/>
      <c r="DS23" s="425"/>
      <c r="DT23" s="425"/>
      <c r="DU23" s="425"/>
      <c r="DV23" s="425"/>
      <c r="DW23" s="425"/>
      <c r="DX23" s="425"/>
      <c r="DY23" s="425"/>
      <c r="DZ23" s="425"/>
      <c r="EA23" s="425"/>
      <c r="EB23" s="425"/>
      <c r="EC23" s="425"/>
      <c r="ED23" s="425"/>
      <c r="EE23" s="425"/>
      <c r="EF23" s="425"/>
      <c r="EG23" s="425"/>
      <c r="EH23" s="425"/>
      <c r="EI23" s="425"/>
      <c r="EJ23" s="425"/>
      <c r="EK23" s="425"/>
      <c r="EL23" s="425"/>
      <c r="EM23" s="425"/>
      <c r="EN23" s="425"/>
      <c r="EO23" s="425"/>
      <c r="EP23" s="425"/>
      <c r="EQ23" s="425"/>
      <c r="ER23" s="425"/>
      <c r="ES23" s="425"/>
      <c r="ET23" s="425"/>
      <c r="EU23" s="425"/>
      <c r="EV23" s="425"/>
      <c r="EW23" s="425"/>
      <c r="EX23" s="425"/>
      <c r="EY23" s="425"/>
      <c r="EZ23" s="425"/>
      <c r="FA23" s="425"/>
      <c r="FB23" s="425"/>
      <c r="FC23" s="425"/>
      <c r="FD23" s="425"/>
      <c r="FE23" s="425"/>
      <c r="FF23" s="425"/>
      <c r="FG23" s="425"/>
      <c r="FH23" s="425"/>
      <c r="FI23" s="425"/>
      <c r="FJ23" s="425"/>
      <c r="FK23" s="425"/>
      <c r="FL23" s="425"/>
      <c r="FM23" s="425"/>
      <c r="FN23" s="425"/>
      <c r="FO23" s="425"/>
      <c r="FP23" s="425"/>
      <c r="FQ23" s="425"/>
      <c r="FR23" s="425"/>
      <c r="FS23" s="425"/>
      <c r="FT23" s="425"/>
      <c r="FU23" s="425"/>
      <c r="FV23" s="425"/>
      <c r="FW23" s="425"/>
      <c r="FX23" s="425"/>
      <c r="FY23" s="425"/>
      <c r="FZ23" s="425"/>
      <c r="GA23" s="425"/>
      <c r="GB23" s="425"/>
      <c r="GC23" s="425"/>
      <c r="GD23" s="425"/>
      <c r="GE23" s="425"/>
      <c r="GF23" s="425"/>
      <c r="GG23" s="425"/>
      <c r="GH23" s="425"/>
      <c r="GI23" s="425"/>
      <c r="GJ23" s="425"/>
      <c r="GK23" s="425"/>
      <c r="GL23" s="425"/>
      <c r="GM23" s="425"/>
      <c r="GN23" s="425"/>
      <c r="GO23" s="425"/>
      <c r="GP23" s="425"/>
      <c r="GQ23" s="425"/>
      <c r="GR23" s="425"/>
      <c r="GS23" s="425"/>
      <c r="GT23" s="425"/>
      <c r="GU23" s="425"/>
      <c r="GV23" s="425"/>
      <c r="GW23" s="425"/>
      <c r="GX23" s="425"/>
      <c r="GY23" s="425"/>
      <c r="GZ23" s="425"/>
      <c r="HA23" s="425"/>
      <c r="HB23" s="425"/>
      <c r="HC23" s="425"/>
      <c r="HD23" s="425"/>
      <c r="HE23" s="425"/>
      <c r="HF23" s="425"/>
      <c r="HG23" s="425"/>
      <c r="HH23" s="425"/>
      <c r="HI23" s="425"/>
      <c r="HJ23" s="425"/>
      <c r="HK23" s="425"/>
      <c r="HL23" s="425"/>
      <c r="HM23" s="425"/>
      <c r="HN23" s="425"/>
      <c r="HO23" s="425"/>
      <c r="HP23" s="425"/>
      <c r="HQ23" s="425"/>
      <c r="HR23" s="425"/>
      <c r="HS23" s="425"/>
      <c r="HT23" s="425"/>
      <c r="HU23" s="425"/>
      <c r="HV23" s="425"/>
      <c r="HW23" s="425"/>
      <c r="HX23" s="425"/>
      <c r="HY23" s="425"/>
      <c r="HZ23" s="425"/>
    </row>
    <row r="24" spans="1:234" s="32" customFormat="1" ht="22.5" x14ac:dyDescent="0.25">
      <c r="A24" s="52">
        <f>IF(COUNTBLANK(B24)=1," ",COUNTA($B$12:B24))</f>
        <v>8</v>
      </c>
      <c r="B24" s="288" t="s">
        <v>14</v>
      </c>
      <c r="C24" s="464" t="s">
        <v>268</v>
      </c>
      <c r="D24" s="743" t="s">
        <v>32</v>
      </c>
      <c r="E24" s="53">
        <v>54</v>
      </c>
      <c r="F24" s="145"/>
      <c r="G24" s="136"/>
      <c r="H24" s="271"/>
      <c r="I24" s="12"/>
      <c r="J24" s="12"/>
      <c r="K24" s="136"/>
      <c r="L24" s="305"/>
      <c r="M24" s="275"/>
      <c r="N24" s="275"/>
      <c r="O24" s="275"/>
      <c r="P24" s="275"/>
      <c r="Q24" s="275"/>
    </row>
    <row r="25" spans="1:234" s="32" customFormat="1" x14ac:dyDescent="0.25">
      <c r="A25" s="52" t="str">
        <f>IF(COUNTBLANK(B25)=1," ",COUNTA($B$12:B25))</f>
        <v xml:space="preserve"> </v>
      </c>
      <c r="B25" s="357"/>
      <c r="C25" s="95" t="s">
        <v>269</v>
      </c>
      <c r="D25" s="743" t="s">
        <v>26</v>
      </c>
      <c r="E25" s="53">
        <v>1.8</v>
      </c>
      <c r="F25" s="145"/>
      <c r="G25" s="60"/>
      <c r="H25" s="60"/>
      <c r="I25" s="15"/>
      <c r="J25" s="15"/>
      <c r="K25" s="60"/>
      <c r="L25" s="305"/>
      <c r="M25" s="275"/>
      <c r="N25" s="275"/>
      <c r="O25" s="275"/>
      <c r="P25" s="275"/>
      <c r="Q25" s="275"/>
    </row>
    <row r="26" spans="1:234" s="32" customFormat="1" x14ac:dyDescent="0.25">
      <c r="A26" s="52" t="str">
        <f>IF(COUNTBLANK(B26)=1," ",COUNTA($B$12:B26))</f>
        <v xml:space="preserve"> </v>
      </c>
      <c r="B26" s="357"/>
      <c r="C26" s="95" t="s">
        <v>270</v>
      </c>
      <c r="D26" s="743" t="s">
        <v>26</v>
      </c>
      <c r="E26" s="53">
        <v>1.6</v>
      </c>
      <c r="F26" s="145"/>
      <c r="G26" s="60"/>
      <c r="H26" s="60"/>
      <c r="I26" s="15"/>
      <c r="J26" s="15"/>
      <c r="K26" s="60"/>
      <c r="L26" s="305"/>
      <c r="M26" s="275"/>
      <c r="N26" s="275"/>
      <c r="O26" s="275"/>
      <c r="P26" s="275"/>
      <c r="Q26" s="275"/>
    </row>
    <row r="27" spans="1:234" s="32" customFormat="1" ht="22.5" x14ac:dyDescent="0.25">
      <c r="A27" s="52" t="str">
        <f>IF(COUNTBLANK(B27)=1," ",COUNTA($B$12:B27))</f>
        <v xml:space="preserve"> </v>
      </c>
      <c r="B27" s="357"/>
      <c r="C27" s="95" t="s">
        <v>880</v>
      </c>
      <c r="D27" s="743" t="s">
        <v>26</v>
      </c>
      <c r="E27" s="53">
        <v>3.2</v>
      </c>
      <c r="F27" s="145"/>
      <c r="G27" s="136"/>
      <c r="H27" s="271"/>
      <c r="I27" s="12"/>
      <c r="J27" s="306"/>
      <c r="K27" s="136"/>
      <c r="L27" s="305"/>
      <c r="M27" s="275"/>
      <c r="N27" s="275"/>
      <c r="O27" s="275"/>
      <c r="P27" s="275"/>
      <c r="Q27" s="275"/>
    </row>
    <row r="28" spans="1:234" s="32" customFormat="1" ht="22.5" x14ac:dyDescent="0.25">
      <c r="A28" s="52">
        <f>IF(COUNTBLANK(B28)=1," ",COUNTA($B$12:B28))</f>
        <v>9</v>
      </c>
      <c r="B28" s="288" t="s">
        <v>14</v>
      </c>
      <c r="C28" s="359" t="s">
        <v>432</v>
      </c>
      <c r="D28" s="427" t="s">
        <v>17</v>
      </c>
      <c r="E28" s="428">
        <v>230</v>
      </c>
      <c r="F28" s="291"/>
      <c r="G28" s="60"/>
      <c r="H28" s="271"/>
      <c r="I28" s="60"/>
      <c r="J28" s="60"/>
      <c r="K28" s="60"/>
      <c r="L28" s="305"/>
      <c r="M28" s="275"/>
      <c r="N28" s="275"/>
      <c r="O28" s="275"/>
      <c r="P28" s="275"/>
      <c r="Q28" s="275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29"/>
      <c r="AT28" s="429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29"/>
      <c r="BG28" s="429"/>
      <c r="BH28" s="429"/>
      <c r="BI28" s="429"/>
      <c r="BJ28" s="429"/>
      <c r="BK28" s="429"/>
      <c r="BL28" s="429"/>
      <c r="BM28" s="429"/>
      <c r="BN28" s="429"/>
      <c r="BO28" s="429"/>
      <c r="BP28" s="429"/>
      <c r="BQ28" s="429"/>
      <c r="BR28" s="429"/>
      <c r="BS28" s="429"/>
      <c r="BT28" s="429"/>
      <c r="BU28" s="429"/>
      <c r="BV28" s="429"/>
      <c r="BW28" s="429"/>
      <c r="BX28" s="429"/>
      <c r="BY28" s="429"/>
      <c r="BZ28" s="429"/>
      <c r="CA28" s="429"/>
      <c r="CB28" s="429"/>
      <c r="CC28" s="429"/>
      <c r="CD28" s="429"/>
      <c r="CE28" s="429"/>
      <c r="CF28" s="429"/>
      <c r="CG28" s="429"/>
      <c r="CH28" s="429"/>
      <c r="CI28" s="429"/>
      <c r="CJ28" s="429"/>
      <c r="CK28" s="429"/>
      <c r="CL28" s="429"/>
      <c r="CM28" s="429"/>
      <c r="CN28" s="429"/>
      <c r="CO28" s="429"/>
      <c r="CP28" s="429"/>
      <c r="CQ28" s="429"/>
      <c r="CR28" s="429"/>
      <c r="CS28" s="429"/>
      <c r="CT28" s="429"/>
      <c r="CU28" s="429"/>
      <c r="CV28" s="429"/>
      <c r="CW28" s="429"/>
      <c r="CX28" s="429"/>
      <c r="CY28" s="429"/>
      <c r="CZ28" s="429"/>
      <c r="DA28" s="429"/>
      <c r="DB28" s="429"/>
      <c r="DC28" s="429"/>
      <c r="DD28" s="429"/>
      <c r="DE28" s="429"/>
      <c r="DF28" s="429"/>
      <c r="DG28" s="429"/>
      <c r="DH28" s="429"/>
      <c r="DI28" s="429"/>
      <c r="DJ28" s="429"/>
      <c r="DK28" s="429"/>
      <c r="DL28" s="429"/>
      <c r="DM28" s="429"/>
      <c r="DN28" s="429"/>
      <c r="DO28" s="429"/>
      <c r="DP28" s="429"/>
      <c r="DQ28" s="429"/>
      <c r="DR28" s="429"/>
      <c r="DS28" s="429"/>
      <c r="DT28" s="429"/>
      <c r="DU28" s="429"/>
      <c r="DV28" s="429"/>
      <c r="DW28" s="429"/>
      <c r="DX28" s="429"/>
      <c r="DY28" s="429"/>
      <c r="DZ28" s="429"/>
      <c r="EA28" s="429"/>
      <c r="EB28" s="429"/>
      <c r="EC28" s="429"/>
      <c r="ED28" s="429"/>
      <c r="EE28" s="429"/>
      <c r="EF28" s="429"/>
      <c r="EG28" s="429"/>
      <c r="EH28" s="429"/>
      <c r="EI28" s="429"/>
      <c r="EJ28" s="429"/>
      <c r="EK28" s="429"/>
      <c r="EL28" s="429"/>
      <c r="EM28" s="429"/>
      <c r="EN28" s="429"/>
      <c r="EO28" s="429"/>
      <c r="EP28" s="429"/>
      <c r="EQ28" s="429"/>
      <c r="ER28" s="429"/>
      <c r="ES28" s="429"/>
      <c r="ET28" s="429"/>
      <c r="EU28" s="429"/>
      <c r="EV28" s="429"/>
      <c r="EW28" s="429"/>
      <c r="EX28" s="429"/>
      <c r="EY28" s="429"/>
      <c r="EZ28" s="429"/>
      <c r="FA28" s="429"/>
      <c r="FB28" s="429"/>
      <c r="FC28" s="429"/>
      <c r="FD28" s="429"/>
      <c r="FE28" s="429"/>
      <c r="FF28" s="429"/>
      <c r="FG28" s="429"/>
      <c r="FH28" s="429"/>
      <c r="FI28" s="429"/>
      <c r="FJ28" s="429"/>
      <c r="FK28" s="429"/>
      <c r="FL28" s="429"/>
      <c r="FM28" s="429"/>
      <c r="FN28" s="429"/>
      <c r="FO28" s="429"/>
      <c r="FP28" s="429"/>
      <c r="FQ28" s="429"/>
      <c r="FR28" s="429"/>
      <c r="FS28" s="429"/>
      <c r="FT28" s="429"/>
      <c r="FU28" s="429"/>
      <c r="FV28" s="429"/>
      <c r="FW28" s="429"/>
      <c r="FX28" s="429"/>
      <c r="FY28" s="429"/>
      <c r="FZ28" s="429"/>
      <c r="GA28" s="429"/>
      <c r="GB28" s="429"/>
      <c r="GC28" s="429"/>
      <c r="GD28" s="429"/>
      <c r="GE28" s="429"/>
      <c r="GF28" s="429"/>
      <c r="GG28" s="429"/>
      <c r="GH28" s="429"/>
      <c r="GI28" s="429"/>
      <c r="GJ28" s="429"/>
      <c r="GK28" s="429"/>
      <c r="GL28" s="429"/>
      <c r="GM28" s="429"/>
      <c r="GN28" s="429"/>
      <c r="GO28" s="429"/>
      <c r="GP28" s="429"/>
      <c r="GQ28" s="429"/>
      <c r="GR28" s="429"/>
      <c r="GS28" s="429"/>
      <c r="GT28" s="429"/>
      <c r="GU28" s="429"/>
      <c r="GV28" s="429"/>
      <c r="GW28" s="429"/>
      <c r="GX28" s="429"/>
      <c r="GY28" s="429"/>
      <c r="GZ28" s="429"/>
      <c r="HA28" s="429"/>
      <c r="HB28" s="429"/>
      <c r="HC28" s="429"/>
      <c r="HD28" s="429"/>
      <c r="HE28" s="429"/>
      <c r="HF28" s="429"/>
      <c r="HG28" s="429"/>
      <c r="HH28" s="429"/>
      <c r="HI28" s="429"/>
      <c r="HJ28" s="429"/>
      <c r="HK28" s="429"/>
      <c r="HL28" s="429"/>
      <c r="HM28" s="429"/>
      <c r="HN28" s="429"/>
      <c r="HO28" s="429"/>
      <c r="HP28" s="429"/>
      <c r="HQ28" s="429"/>
      <c r="HR28" s="429"/>
      <c r="HS28" s="429"/>
      <c r="HT28" s="429"/>
      <c r="HU28" s="429"/>
      <c r="HV28" s="429"/>
      <c r="HW28" s="429"/>
      <c r="HX28" s="429"/>
      <c r="HY28" s="429"/>
      <c r="HZ28" s="429"/>
    </row>
    <row r="29" spans="1:234" s="32" customFormat="1" x14ac:dyDescent="0.25">
      <c r="A29" s="52" t="str">
        <f>IF(COUNTBLANK(B29)=1," ",COUNTA($B$12:B29))</f>
        <v xml:space="preserve"> </v>
      </c>
      <c r="B29" s="268"/>
      <c r="C29" s="423" t="s">
        <v>433</v>
      </c>
      <c r="D29" s="268" t="s">
        <v>52</v>
      </c>
      <c r="E29" s="291">
        <f>E28*F29</f>
        <v>69</v>
      </c>
      <c r="F29" s="291">
        <v>0.3</v>
      </c>
      <c r="G29" s="60"/>
      <c r="H29" s="60"/>
      <c r="I29" s="60"/>
      <c r="J29" s="60"/>
      <c r="K29" s="60"/>
      <c r="L29" s="305"/>
      <c r="M29" s="275"/>
      <c r="N29" s="275"/>
      <c r="O29" s="275"/>
      <c r="P29" s="275"/>
      <c r="Q29" s="275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0"/>
      <c r="AU29" s="430"/>
      <c r="AV29" s="430"/>
      <c r="AW29" s="430"/>
      <c r="AX29" s="430"/>
      <c r="AY29" s="430"/>
      <c r="AZ29" s="430"/>
      <c r="BA29" s="430"/>
      <c r="BB29" s="430"/>
      <c r="BC29" s="430"/>
      <c r="BD29" s="430"/>
      <c r="BE29" s="430"/>
      <c r="BF29" s="430"/>
      <c r="BG29" s="430"/>
      <c r="BH29" s="430"/>
      <c r="BI29" s="430"/>
      <c r="BJ29" s="430"/>
      <c r="BK29" s="430"/>
      <c r="BL29" s="430"/>
      <c r="BM29" s="430"/>
      <c r="BN29" s="430"/>
      <c r="BO29" s="430"/>
      <c r="BP29" s="430"/>
      <c r="BQ29" s="430"/>
      <c r="BR29" s="430"/>
      <c r="BS29" s="430"/>
      <c r="BT29" s="430"/>
      <c r="BU29" s="430"/>
      <c r="BV29" s="430"/>
      <c r="BW29" s="430"/>
      <c r="BX29" s="430"/>
      <c r="BY29" s="430"/>
      <c r="BZ29" s="430"/>
      <c r="CA29" s="430"/>
      <c r="CB29" s="430"/>
      <c r="CC29" s="430"/>
      <c r="CD29" s="430"/>
      <c r="CE29" s="430"/>
      <c r="CF29" s="430"/>
      <c r="CG29" s="430"/>
      <c r="CH29" s="430"/>
      <c r="CI29" s="430"/>
      <c r="CJ29" s="430"/>
      <c r="CK29" s="430"/>
      <c r="CL29" s="430"/>
      <c r="CM29" s="430"/>
      <c r="CN29" s="430"/>
      <c r="CO29" s="430"/>
      <c r="CP29" s="430"/>
      <c r="CQ29" s="430"/>
      <c r="CR29" s="430"/>
      <c r="CS29" s="430"/>
      <c r="CT29" s="430"/>
      <c r="CU29" s="430"/>
      <c r="CV29" s="430"/>
      <c r="CW29" s="430"/>
      <c r="CX29" s="430"/>
      <c r="CY29" s="430"/>
      <c r="CZ29" s="430"/>
      <c r="DA29" s="430"/>
      <c r="DB29" s="430"/>
      <c r="DC29" s="430"/>
      <c r="DD29" s="430"/>
      <c r="DE29" s="430"/>
      <c r="DF29" s="430"/>
      <c r="DG29" s="430"/>
      <c r="DH29" s="430"/>
      <c r="DI29" s="430"/>
      <c r="DJ29" s="430"/>
      <c r="DK29" s="430"/>
      <c r="DL29" s="430"/>
      <c r="DM29" s="430"/>
      <c r="DN29" s="430"/>
      <c r="DO29" s="430"/>
      <c r="DP29" s="430"/>
      <c r="DQ29" s="430"/>
      <c r="DR29" s="430"/>
      <c r="DS29" s="430"/>
      <c r="DT29" s="430"/>
      <c r="DU29" s="430"/>
      <c r="DV29" s="430"/>
      <c r="DW29" s="430"/>
      <c r="DX29" s="430"/>
      <c r="DY29" s="430"/>
      <c r="DZ29" s="430"/>
      <c r="EA29" s="430"/>
      <c r="EB29" s="430"/>
      <c r="EC29" s="430"/>
      <c r="ED29" s="430"/>
      <c r="EE29" s="430"/>
      <c r="EF29" s="430"/>
      <c r="EG29" s="430"/>
      <c r="EH29" s="430"/>
      <c r="EI29" s="430"/>
      <c r="EJ29" s="430"/>
      <c r="EK29" s="430"/>
      <c r="EL29" s="430"/>
      <c r="EM29" s="430"/>
      <c r="EN29" s="430"/>
      <c r="EO29" s="430"/>
      <c r="EP29" s="430"/>
      <c r="EQ29" s="430"/>
      <c r="ER29" s="430"/>
      <c r="ES29" s="430"/>
      <c r="ET29" s="430"/>
      <c r="EU29" s="430"/>
      <c r="EV29" s="430"/>
      <c r="EW29" s="430"/>
      <c r="EX29" s="430"/>
      <c r="EY29" s="430"/>
      <c r="EZ29" s="430"/>
      <c r="FA29" s="430"/>
      <c r="FB29" s="430"/>
      <c r="FC29" s="430"/>
      <c r="FD29" s="430"/>
      <c r="FE29" s="430"/>
      <c r="FF29" s="430"/>
      <c r="FG29" s="430"/>
      <c r="FH29" s="430"/>
      <c r="FI29" s="430"/>
      <c r="FJ29" s="430"/>
      <c r="FK29" s="430"/>
      <c r="FL29" s="430"/>
      <c r="FM29" s="430"/>
      <c r="FN29" s="430"/>
      <c r="FO29" s="430"/>
      <c r="FP29" s="430"/>
      <c r="FQ29" s="430"/>
      <c r="FR29" s="430"/>
      <c r="FS29" s="430"/>
      <c r="FT29" s="430"/>
      <c r="FU29" s="430"/>
      <c r="FV29" s="430"/>
      <c r="FW29" s="430"/>
      <c r="FX29" s="430"/>
      <c r="FY29" s="430"/>
      <c r="FZ29" s="430"/>
      <c r="GA29" s="430"/>
      <c r="GB29" s="430"/>
      <c r="GC29" s="430"/>
      <c r="GD29" s="430"/>
      <c r="GE29" s="430"/>
      <c r="GF29" s="430"/>
      <c r="GG29" s="430"/>
      <c r="GH29" s="430"/>
      <c r="GI29" s="430"/>
      <c r="GJ29" s="430"/>
      <c r="GK29" s="430"/>
      <c r="GL29" s="430"/>
      <c r="GM29" s="430"/>
      <c r="GN29" s="430"/>
      <c r="GO29" s="430"/>
      <c r="GP29" s="430"/>
      <c r="GQ29" s="430"/>
      <c r="GR29" s="430"/>
      <c r="GS29" s="430"/>
      <c r="GT29" s="430"/>
      <c r="GU29" s="430"/>
      <c r="GV29" s="430"/>
      <c r="GW29" s="430"/>
      <c r="GX29" s="430"/>
      <c r="GY29" s="430"/>
      <c r="GZ29" s="430"/>
      <c r="HA29" s="430"/>
      <c r="HB29" s="430"/>
      <c r="HC29" s="430"/>
      <c r="HD29" s="430"/>
      <c r="HE29" s="430"/>
      <c r="HF29" s="430"/>
      <c r="HG29" s="430"/>
      <c r="HH29" s="430"/>
      <c r="HI29" s="430"/>
      <c r="HJ29" s="430"/>
      <c r="HK29" s="430"/>
      <c r="HL29" s="430"/>
      <c r="HM29" s="430"/>
      <c r="HN29" s="430"/>
      <c r="HO29" s="430"/>
      <c r="HP29" s="430"/>
      <c r="HQ29" s="430"/>
      <c r="HR29" s="430"/>
      <c r="HS29" s="430"/>
      <c r="HT29" s="430"/>
      <c r="HU29" s="430"/>
      <c r="HV29" s="430"/>
      <c r="HW29" s="430"/>
      <c r="HX29" s="430"/>
      <c r="HY29" s="430"/>
      <c r="HZ29" s="430"/>
    </row>
    <row r="30" spans="1:234" s="32" customFormat="1" ht="22.5" x14ac:dyDescent="0.25">
      <c r="A30" s="52" t="str">
        <f>IF(COUNTBLANK(B30)=1," ",COUNTA($B$12:B30))</f>
        <v xml:space="preserve"> </v>
      </c>
      <c r="B30" s="357"/>
      <c r="C30" s="679" t="s">
        <v>271</v>
      </c>
      <c r="D30" s="743" t="s">
        <v>32</v>
      </c>
      <c r="E30" s="377">
        <v>27</v>
      </c>
      <c r="F30" s="145"/>
      <c r="G30" s="33"/>
      <c r="H30" s="33"/>
      <c r="I30" s="33"/>
      <c r="J30" s="33"/>
      <c r="K30" s="33"/>
      <c r="L30" s="305"/>
      <c r="M30" s="275"/>
      <c r="N30" s="275"/>
      <c r="O30" s="275"/>
      <c r="P30" s="275"/>
      <c r="Q30" s="275"/>
    </row>
    <row r="31" spans="1:234" s="32" customFormat="1" ht="22.5" x14ac:dyDescent="0.25">
      <c r="A31" s="52">
        <f>IF(COUNTBLANK(B31)=1," ",COUNTA($B$12:B31))</f>
        <v>10</v>
      </c>
      <c r="B31" s="288" t="s">
        <v>14</v>
      </c>
      <c r="C31" s="54" t="s">
        <v>272</v>
      </c>
      <c r="D31" s="743" t="s">
        <v>26</v>
      </c>
      <c r="E31" s="53">
        <f>0.2*0.51*0.51*27</f>
        <v>1.4045400000000001</v>
      </c>
      <c r="F31" s="136"/>
      <c r="G31" s="431"/>
      <c r="H31" s="271"/>
      <c r="I31" s="431"/>
      <c r="J31" s="432"/>
      <c r="K31" s="431"/>
      <c r="L31" s="305"/>
      <c r="M31" s="275"/>
      <c r="N31" s="275"/>
      <c r="O31" s="275"/>
      <c r="P31" s="275"/>
      <c r="Q31" s="275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  <c r="BR31" s="262"/>
      <c r="BS31" s="262"/>
      <c r="BT31" s="262"/>
      <c r="BU31" s="262"/>
      <c r="BV31" s="262"/>
      <c r="BW31" s="262"/>
      <c r="BX31" s="262"/>
      <c r="BY31" s="262"/>
      <c r="BZ31" s="262"/>
      <c r="CA31" s="262"/>
      <c r="CB31" s="262"/>
      <c r="CC31" s="262"/>
      <c r="CD31" s="262"/>
      <c r="CE31" s="262"/>
      <c r="CF31" s="262"/>
      <c r="CG31" s="262"/>
      <c r="CH31" s="262"/>
      <c r="CI31" s="262"/>
      <c r="CJ31" s="262"/>
      <c r="CK31" s="262"/>
      <c r="CL31" s="262"/>
      <c r="CM31" s="262"/>
      <c r="CN31" s="262"/>
      <c r="CO31" s="262"/>
      <c r="CP31" s="262"/>
      <c r="CQ31" s="262"/>
      <c r="CR31" s="262"/>
      <c r="CS31" s="262"/>
      <c r="CT31" s="262"/>
      <c r="CU31" s="262"/>
      <c r="CV31" s="262"/>
      <c r="CW31" s="262"/>
      <c r="CX31" s="262"/>
      <c r="CY31" s="262"/>
      <c r="CZ31" s="262"/>
      <c r="DA31" s="262"/>
      <c r="DB31" s="262"/>
      <c r="DC31" s="262"/>
      <c r="DD31" s="262"/>
      <c r="DE31" s="262"/>
      <c r="DF31" s="262"/>
      <c r="DG31" s="262"/>
      <c r="DH31" s="262"/>
      <c r="DI31" s="262"/>
      <c r="DJ31" s="262"/>
      <c r="DK31" s="262"/>
      <c r="DL31" s="262"/>
      <c r="DM31" s="262"/>
      <c r="DN31" s="262"/>
      <c r="DO31" s="262"/>
      <c r="DP31" s="262"/>
      <c r="DQ31" s="262"/>
      <c r="DR31" s="262"/>
      <c r="DS31" s="262"/>
      <c r="DT31" s="262"/>
      <c r="DU31" s="262"/>
      <c r="DV31" s="262"/>
      <c r="DW31" s="262"/>
      <c r="DX31" s="262"/>
      <c r="DY31" s="262"/>
      <c r="DZ31" s="262"/>
      <c r="EA31" s="262"/>
      <c r="EB31" s="262"/>
      <c r="EC31" s="262"/>
      <c r="ED31" s="262"/>
      <c r="EE31" s="262"/>
      <c r="EF31" s="262"/>
      <c r="EG31" s="262"/>
      <c r="EH31" s="262"/>
      <c r="EI31" s="262"/>
      <c r="EJ31" s="262"/>
      <c r="EK31" s="262"/>
      <c r="EL31" s="262"/>
      <c r="EM31" s="262"/>
      <c r="EN31" s="262"/>
      <c r="EO31" s="262"/>
      <c r="EP31" s="262"/>
      <c r="EQ31" s="262"/>
      <c r="ER31" s="262"/>
      <c r="ES31" s="262"/>
      <c r="ET31" s="262"/>
      <c r="EU31" s="262"/>
      <c r="EV31" s="262"/>
      <c r="EW31" s="262"/>
      <c r="EX31" s="262"/>
      <c r="EY31" s="262"/>
      <c r="EZ31" s="262"/>
      <c r="FA31" s="262"/>
      <c r="FB31" s="262"/>
      <c r="FC31" s="262"/>
      <c r="FD31" s="262"/>
      <c r="FE31" s="262"/>
      <c r="FF31" s="262"/>
      <c r="FG31" s="262"/>
      <c r="FH31" s="262"/>
      <c r="FI31" s="262"/>
      <c r="FJ31" s="262"/>
      <c r="FK31" s="262"/>
      <c r="FL31" s="262"/>
      <c r="FM31" s="262"/>
      <c r="FN31" s="262"/>
      <c r="FO31" s="262"/>
      <c r="FP31" s="262"/>
      <c r="FQ31" s="262"/>
      <c r="FR31" s="262"/>
      <c r="FS31" s="262"/>
      <c r="FT31" s="262"/>
      <c r="FU31" s="262"/>
      <c r="FV31" s="262"/>
      <c r="FW31" s="262"/>
      <c r="FX31" s="262"/>
      <c r="FY31" s="262"/>
      <c r="FZ31" s="262"/>
      <c r="GA31" s="262"/>
      <c r="GB31" s="262"/>
      <c r="GC31" s="262"/>
      <c r="GD31" s="262"/>
      <c r="GE31" s="262"/>
      <c r="GF31" s="262"/>
      <c r="GG31" s="262"/>
      <c r="GH31" s="262"/>
      <c r="GI31" s="262"/>
      <c r="GJ31" s="262"/>
      <c r="GK31" s="262"/>
      <c r="GL31" s="262"/>
      <c r="GM31" s="262"/>
      <c r="GN31" s="262"/>
      <c r="GO31" s="262"/>
      <c r="GP31" s="262"/>
      <c r="GQ31" s="262"/>
      <c r="GR31" s="262"/>
      <c r="GS31" s="262"/>
      <c r="GT31" s="262"/>
      <c r="GU31" s="262"/>
      <c r="GV31" s="262"/>
      <c r="GW31" s="262"/>
      <c r="GX31" s="262"/>
      <c r="GY31" s="262"/>
      <c r="GZ31" s="262"/>
      <c r="HA31" s="262"/>
      <c r="HB31" s="262"/>
      <c r="HC31" s="262"/>
      <c r="HD31" s="262"/>
      <c r="HE31" s="262"/>
      <c r="HF31" s="262"/>
      <c r="HG31" s="262"/>
      <c r="HH31" s="262"/>
      <c r="HI31" s="262"/>
      <c r="HJ31" s="262"/>
      <c r="HK31" s="262"/>
      <c r="HL31" s="262"/>
      <c r="HM31" s="262"/>
      <c r="HN31" s="262"/>
      <c r="HO31" s="262"/>
      <c r="HP31" s="262"/>
      <c r="HQ31" s="262"/>
      <c r="HR31" s="262"/>
      <c r="HS31" s="262"/>
      <c r="HT31" s="262"/>
      <c r="HU31" s="262"/>
      <c r="HV31" s="262"/>
      <c r="HW31" s="262"/>
      <c r="HX31" s="262"/>
      <c r="HY31" s="262"/>
      <c r="HZ31" s="262"/>
    </row>
    <row r="32" spans="1:234" s="32" customFormat="1" ht="15" x14ac:dyDescent="0.25">
      <c r="A32" s="52" t="str">
        <f>IF(COUNTBLANK(B32)=1," ",COUNTA($B$12:B32))</f>
        <v xml:space="preserve"> </v>
      </c>
      <c r="B32" s="729"/>
      <c r="C32" s="736" t="s">
        <v>429</v>
      </c>
      <c r="D32" s="729" t="s">
        <v>26</v>
      </c>
      <c r="E32" s="10">
        <f>ROUNDUP(E31*F32,2)</f>
        <v>0.36</v>
      </c>
      <c r="F32" s="729">
        <v>0.25</v>
      </c>
      <c r="G32" s="434"/>
      <c r="H32" s="431"/>
      <c r="I32" s="431"/>
      <c r="J32" s="431"/>
      <c r="K32" s="431"/>
      <c r="L32" s="305"/>
      <c r="M32" s="275"/>
      <c r="N32" s="275"/>
      <c r="O32" s="275"/>
      <c r="P32" s="275"/>
      <c r="Q32" s="275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2"/>
      <c r="BK32" s="262"/>
      <c r="BL32" s="262"/>
      <c r="BM32" s="262"/>
      <c r="BN32" s="262"/>
      <c r="BO32" s="262"/>
      <c r="BP32" s="262"/>
      <c r="BQ32" s="262"/>
      <c r="BR32" s="262"/>
      <c r="BS32" s="262"/>
      <c r="BT32" s="262"/>
      <c r="BU32" s="262"/>
      <c r="BV32" s="262"/>
      <c r="BW32" s="262"/>
      <c r="BX32" s="262"/>
      <c r="BY32" s="262"/>
      <c r="BZ32" s="262"/>
      <c r="CA32" s="262"/>
      <c r="CB32" s="262"/>
      <c r="CC32" s="262"/>
      <c r="CD32" s="262"/>
      <c r="CE32" s="262"/>
      <c r="CF32" s="262"/>
      <c r="CG32" s="262"/>
      <c r="CH32" s="262"/>
      <c r="CI32" s="262"/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2"/>
      <c r="CZ32" s="262"/>
      <c r="DA32" s="262"/>
      <c r="DB32" s="262"/>
      <c r="DC32" s="262"/>
      <c r="DD32" s="262"/>
      <c r="DE32" s="262"/>
      <c r="DF32" s="262"/>
      <c r="DG32" s="262"/>
      <c r="DH32" s="262"/>
      <c r="DI32" s="262"/>
      <c r="DJ32" s="262"/>
      <c r="DK32" s="262"/>
      <c r="DL32" s="262"/>
      <c r="DM32" s="262"/>
      <c r="DN32" s="262"/>
      <c r="DO32" s="262"/>
      <c r="DP32" s="262"/>
      <c r="DQ32" s="262"/>
      <c r="DR32" s="262"/>
      <c r="DS32" s="262"/>
      <c r="DT32" s="262"/>
      <c r="DU32" s="262"/>
      <c r="DV32" s="262"/>
      <c r="DW32" s="262"/>
      <c r="DX32" s="262"/>
      <c r="DY32" s="262"/>
      <c r="DZ32" s="262"/>
      <c r="EA32" s="262"/>
      <c r="EB32" s="262"/>
      <c r="EC32" s="262"/>
      <c r="ED32" s="262"/>
      <c r="EE32" s="262"/>
      <c r="EF32" s="262"/>
      <c r="EG32" s="262"/>
      <c r="EH32" s="262"/>
      <c r="EI32" s="262"/>
      <c r="EJ32" s="262"/>
      <c r="EK32" s="262"/>
      <c r="EL32" s="262"/>
      <c r="EM32" s="262"/>
      <c r="EN32" s="262"/>
      <c r="EO32" s="262"/>
      <c r="EP32" s="262"/>
      <c r="EQ32" s="262"/>
      <c r="ER32" s="262"/>
      <c r="ES32" s="262"/>
      <c r="ET32" s="262"/>
      <c r="EU32" s="262"/>
      <c r="EV32" s="262"/>
      <c r="EW32" s="262"/>
      <c r="EX32" s="262"/>
      <c r="EY32" s="262"/>
      <c r="EZ32" s="262"/>
      <c r="FA32" s="262"/>
      <c r="FB32" s="262"/>
      <c r="FC32" s="262"/>
      <c r="FD32" s="262"/>
      <c r="FE32" s="262"/>
      <c r="FF32" s="262"/>
      <c r="FG32" s="262"/>
      <c r="FH32" s="262"/>
      <c r="FI32" s="262"/>
      <c r="FJ32" s="262"/>
      <c r="FK32" s="262"/>
      <c r="FL32" s="262"/>
      <c r="FM32" s="262"/>
      <c r="FN32" s="262"/>
      <c r="FO32" s="262"/>
      <c r="FP32" s="262"/>
      <c r="FQ32" s="262"/>
      <c r="FR32" s="262"/>
      <c r="FS32" s="262"/>
      <c r="FT32" s="262"/>
      <c r="FU32" s="262"/>
      <c r="FV32" s="262"/>
      <c r="FW32" s="262"/>
      <c r="FX32" s="262"/>
      <c r="FY32" s="262"/>
      <c r="FZ32" s="262"/>
      <c r="GA32" s="262"/>
      <c r="GB32" s="262"/>
      <c r="GC32" s="262"/>
      <c r="GD32" s="262"/>
      <c r="GE32" s="262"/>
      <c r="GF32" s="262"/>
      <c r="GG32" s="262"/>
      <c r="GH32" s="262"/>
      <c r="GI32" s="262"/>
      <c r="GJ32" s="262"/>
      <c r="GK32" s="262"/>
      <c r="GL32" s="262"/>
      <c r="GM32" s="262"/>
      <c r="GN32" s="262"/>
      <c r="GO32" s="262"/>
      <c r="GP32" s="262"/>
      <c r="GQ32" s="262"/>
      <c r="GR32" s="262"/>
      <c r="GS32" s="262"/>
      <c r="GT32" s="262"/>
      <c r="GU32" s="262"/>
      <c r="GV32" s="262"/>
      <c r="GW32" s="262"/>
      <c r="GX32" s="262"/>
      <c r="GY32" s="262"/>
      <c r="GZ32" s="262"/>
      <c r="HA32" s="262"/>
      <c r="HB32" s="262"/>
      <c r="HC32" s="262"/>
      <c r="HD32" s="262"/>
      <c r="HE32" s="262"/>
      <c r="HF32" s="262"/>
      <c r="HG32" s="262"/>
      <c r="HH32" s="262"/>
      <c r="HI32" s="262"/>
      <c r="HJ32" s="262"/>
      <c r="HK32" s="262"/>
      <c r="HL32" s="262"/>
      <c r="HM32" s="262"/>
      <c r="HN32" s="262"/>
      <c r="HO32" s="262"/>
      <c r="HP32" s="262"/>
      <c r="HQ32" s="262"/>
      <c r="HR32" s="262"/>
      <c r="HS32" s="262"/>
      <c r="HT32" s="262"/>
      <c r="HU32" s="262"/>
      <c r="HV32" s="262"/>
      <c r="HW32" s="262"/>
      <c r="HX32" s="262"/>
      <c r="HY32" s="262"/>
      <c r="HZ32" s="262"/>
    </row>
    <row r="33" spans="1:234" s="32" customFormat="1" ht="15" x14ac:dyDescent="0.25">
      <c r="A33" s="52" t="str">
        <f>IF(COUNTBLANK(B33)=1," ",COUNTA($B$12:B33))</f>
        <v xml:space="preserve"> </v>
      </c>
      <c r="B33" s="729"/>
      <c r="C33" s="736" t="s">
        <v>38</v>
      </c>
      <c r="D33" s="729" t="s">
        <v>211</v>
      </c>
      <c r="E33" s="10">
        <f>ROUNDUP(E31*F33,2)</f>
        <v>0.09</v>
      </c>
      <c r="F33" s="729">
        <v>0.06</v>
      </c>
      <c r="G33" s="10"/>
      <c r="H33" s="10"/>
      <c r="I33" s="10"/>
      <c r="J33" s="10"/>
      <c r="K33" s="10"/>
      <c r="L33" s="305"/>
      <c r="M33" s="275"/>
      <c r="N33" s="275"/>
      <c r="O33" s="275"/>
      <c r="P33" s="275"/>
      <c r="Q33" s="275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2"/>
      <c r="BB33" s="262"/>
      <c r="BC33" s="262"/>
      <c r="BD33" s="262"/>
      <c r="BE33" s="262"/>
      <c r="BF33" s="262"/>
      <c r="BG33" s="262"/>
      <c r="BH33" s="262"/>
      <c r="BI33" s="262"/>
      <c r="BJ33" s="262"/>
      <c r="BK33" s="262"/>
      <c r="BL33" s="262"/>
      <c r="BM33" s="262"/>
      <c r="BN33" s="262"/>
      <c r="BO33" s="262"/>
      <c r="BP33" s="262"/>
      <c r="BQ33" s="262"/>
      <c r="BR33" s="262"/>
      <c r="BS33" s="262"/>
      <c r="BT33" s="262"/>
      <c r="BU33" s="262"/>
      <c r="BV33" s="262"/>
      <c r="BW33" s="262"/>
      <c r="BX33" s="262"/>
      <c r="BY33" s="262"/>
      <c r="BZ33" s="262"/>
      <c r="CA33" s="262"/>
      <c r="CB33" s="262"/>
      <c r="CC33" s="262"/>
      <c r="CD33" s="262"/>
      <c r="CE33" s="262"/>
      <c r="CF33" s="262"/>
      <c r="CG33" s="262"/>
      <c r="CH33" s="262"/>
      <c r="CI33" s="262"/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262"/>
      <c r="DD33" s="262"/>
      <c r="DE33" s="262"/>
      <c r="DF33" s="262"/>
      <c r="DG33" s="262"/>
      <c r="DH33" s="262"/>
      <c r="DI33" s="262"/>
      <c r="DJ33" s="262"/>
      <c r="DK33" s="262"/>
      <c r="DL33" s="262"/>
      <c r="DM33" s="262"/>
      <c r="DN33" s="262"/>
      <c r="DO33" s="262"/>
      <c r="DP33" s="262"/>
      <c r="DQ33" s="262"/>
      <c r="DR33" s="262"/>
      <c r="DS33" s="262"/>
      <c r="DT33" s="262"/>
      <c r="DU33" s="262"/>
      <c r="DV33" s="262"/>
      <c r="DW33" s="262"/>
      <c r="DX33" s="262"/>
      <c r="DY33" s="262"/>
      <c r="DZ33" s="262"/>
      <c r="EA33" s="262"/>
      <c r="EB33" s="262"/>
      <c r="EC33" s="262"/>
      <c r="ED33" s="262"/>
      <c r="EE33" s="262"/>
      <c r="EF33" s="262"/>
      <c r="EG33" s="262"/>
      <c r="EH33" s="262"/>
      <c r="EI33" s="262"/>
      <c r="EJ33" s="262"/>
      <c r="EK33" s="262"/>
      <c r="EL33" s="262"/>
      <c r="EM33" s="262"/>
      <c r="EN33" s="262"/>
      <c r="EO33" s="262"/>
      <c r="EP33" s="262"/>
      <c r="EQ33" s="262"/>
      <c r="ER33" s="262"/>
      <c r="ES33" s="262"/>
      <c r="ET33" s="262"/>
      <c r="EU33" s="262"/>
      <c r="EV33" s="262"/>
      <c r="EW33" s="262"/>
      <c r="EX33" s="262"/>
      <c r="EY33" s="262"/>
      <c r="EZ33" s="262"/>
      <c r="FA33" s="262"/>
      <c r="FB33" s="262"/>
      <c r="FC33" s="262"/>
      <c r="FD33" s="262"/>
      <c r="FE33" s="262"/>
      <c r="FF33" s="262"/>
      <c r="FG33" s="262"/>
      <c r="FH33" s="262"/>
      <c r="FI33" s="262"/>
      <c r="FJ33" s="262"/>
      <c r="FK33" s="262"/>
      <c r="FL33" s="262"/>
      <c r="FM33" s="262"/>
      <c r="FN33" s="262"/>
      <c r="FO33" s="262"/>
      <c r="FP33" s="262"/>
      <c r="FQ33" s="262"/>
      <c r="FR33" s="262"/>
      <c r="FS33" s="262"/>
      <c r="FT33" s="262"/>
      <c r="FU33" s="262"/>
      <c r="FV33" s="262"/>
      <c r="FW33" s="262"/>
      <c r="FX33" s="262"/>
      <c r="FY33" s="262"/>
      <c r="FZ33" s="262"/>
      <c r="GA33" s="262"/>
      <c r="GB33" s="262"/>
      <c r="GC33" s="262"/>
      <c r="GD33" s="262"/>
      <c r="GE33" s="262"/>
      <c r="GF33" s="262"/>
      <c r="GG33" s="262"/>
      <c r="GH33" s="262"/>
      <c r="GI33" s="262"/>
      <c r="GJ33" s="262"/>
      <c r="GK33" s="262"/>
      <c r="GL33" s="262"/>
      <c r="GM33" s="262"/>
      <c r="GN33" s="262"/>
      <c r="GO33" s="262"/>
      <c r="GP33" s="262"/>
      <c r="GQ33" s="262"/>
      <c r="GR33" s="262"/>
      <c r="GS33" s="262"/>
      <c r="GT33" s="262"/>
      <c r="GU33" s="262"/>
      <c r="GV33" s="262"/>
      <c r="GW33" s="262"/>
      <c r="GX33" s="262"/>
      <c r="GY33" s="262"/>
      <c r="GZ33" s="262"/>
      <c r="HA33" s="262"/>
      <c r="HB33" s="262"/>
      <c r="HC33" s="262"/>
      <c r="HD33" s="262"/>
      <c r="HE33" s="262"/>
      <c r="HF33" s="262"/>
      <c r="HG33" s="262"/>
      <c r="HH33" s="262"/>
      <c r="HI33" s="262"/>
      <c r="HJ33" s="262"/>
      <c r="HK33" s="262"/>
      <c r="HL33" s="262"/>
      <c r="HM33" s="262"/>
      <c r="HN33" s="262"/>
      <c r="HO33" s="262"/>
      <c r="HP33" s="262"/>
      <c r="HQ33" s="262"/>
      <c r="HR33" s="262"/>
      <c r="HS33" s="262"/>
      <c r="HT33" s="262"/>
      <c r="HU33" s="262"/>
      <c r="HV33" s="262"/>
      <c r="HW33" s="262"/>
      <c r="HX33" s="262"/>
      <c r="HY33" s="262"/>
      <c r="HZ33" s="262"/>
    </row>
    <row r="34" spans="1:234" s="32" customFormat="1" ht="15" x14ac:dyDescent="0.25">
      <c r="A34" s="52" t="str">
        <f>IF(COUNTBLANK(B34)=1," ",COUNTA($B$12:B34))</f>
        <v xml:space="preserve"> </v>
      </c>
      <c r="B34" s="729"/>
      <c r="C34" s="736" t="s">
        <v>434</v>
      </c>
      <c r="D34" s="236" t="s">
        <v>32</v>
      </c>
      <c r="E34" s="10">
        <f>ROUNDUP(E31*F34,0)</f>
        <v>422</v>
      </c>
      <c r="F34" s="729">
        <v>300</v>
      </c>
      <c r="G34" s="729"/>
      <c r="H34" s="729"/>
      <c r="I34" s="729"/>
      <c r="J34" s="729"/>
      <c r="K34" s="729"/>
      <c r="L34" s="305"/>
      <c r="M34" s="275"/>
      <c r="N34" s="275"/>
      <c r="O34" s="275"/>
      <c r="P34" s="275"/>
      <c r="Q34" s="275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  <c r="BB34" s="262"/>
      <c r="BC34" s="262"/>
      <c r="BD34" s="262"/>
      <c r="BE34" s="262"/>
      <c r="BF34" s="262"/>
      <c r="BG34" s="262"/>
      <c r="BH34" s="262"/>
      <c r="BI34" s="262"/>
      <c r="BJ34" s="262"/>
      <c r="BK34" s="262"/>
      <c r="BL34" s="262"/>
      <c r="BM34" s="262"/>
      <c r="BN34" s="262"/>
      <c r="BO34" s="262"/>
      <c r="BP34" s="262"/>
      <c r="BQ34" s="262"/>
      <c r="BR34" s="262"/>
      <c r="BS34" s="262"/>
      <c r="BT34" s="262"/>
      <c r="BU34" s="262"/>
      <c r="BV34" s="262"/>
      <c r="BW34" s="262"/>
      <c r="BX34" s="262"/>
      <c r="BY34" s="262"/>
      <c r="BZ34" s="262"/>
      <c r="CA34" s="262"/>
      <c r="CB34" s="262"/>
      <c r="CC34" s="262"/>
      <c r="CD34" s="262"/>
      <c r="CE34" s="262"/>
      <c r="CF34" s="262"/>
      <c r="CG34" s="262"/>
      <c r="CH34" s="262"/>
      <c r="CI34" s="262"/>
      <c r="CJ34" s="262"/>
      <c r="CK34" s="262"/>
      <c r="CL34" s="262"/>
      <c r="CM34" s="262"/>
      <c r="CN34" s="262"/>
      <c r="CO34" s="262"/>
      <c r="CP34" s="262"/>
      <c r="CQ34" s="262"/>
      <c r="CR34" s="262"/>
      <c r="CS34" s="262"/>
      <c r="CT34" s="262"/>
      <c r="CU34" s="262"/>
      <c r="CV34" s="262"/>
      <c r="CW34" s="262"/>
      <c r="CX34" s="262"/>
      <c r="CY34" s="262"/>
      <c r="CZ34" s="262"/>
      <c r="DA34" s="262"/>
      <c r="DB34" s="262"/>
      <c r="DC34" s="262"/>
      <c r="DD34" s="262"/>
      <c r="DE34" s="262"/>
      <c r="DF34" s="262"/>
      <c r="DG34" s="262"/>
      <c r="DH34" s="262"/>
      <c r="DI34" s="262"/>
      <c r="DJ34" s="262"/>
      <c r="DK34" s="262"/>
      <c r="DL34" s="262"/>
      <c r="DM34" s="262"/>
      <c r="DN34" s="262"/>
      <c r="DO34" s="262"/>
      <c r="DP34" s="262"/>
      <c r="DQ34" s="262"/>
      <c r="DR34" s="262"/>
      <c r="DS34" s="262"/>
      <c r="DT34" s="262"/>
      <c r="DU34" s="262"/>
      <c r="DV34" s="262"/>
      <c r="DW34" s="262"/>
      <c r="DX34" s="262"/>
      <c r="DY34" s="262"/>
      <c r="DZ34" s="262"/>
      <c r="EA34" s="262"/>
      <c r="EB34" s="262"/>
      <c r="EC34" s="262"/>
      <c r="ED34" s="262"/>
      <c r="EE34" s="262"/>
      <c r="EF34" s="262"/>
      <c r="EG34" s="262"/>
      <c r="EH34" s="262"/>
      <c r="EI34" s="262"/>
      <c r="EJ34" s="262"/>
      <c r="EK34" s="262"/>
      <c r="EL34" s="262"/>
      <c r="EM34" s="262"/>
      <c r="EN34" s="262"/>
      <c r="EO34" s="262"/>
      <c r="EP34" s="262"/>
      <c r="EQ34" s="262"/>
      <c r="ER34" s="262"/>
      <c r="ES34" s="262"/>
      <c r="ET34" s="262"/>
      <c r="EU34" s="262"/>
      <c r="EV34" s="262"/>
      <c r="EW34" s="262"/>
      <c r="EX34" s="262"/>
      <c r="EY34" s="262"/>
      <c r="EZ34" s="262"/>
      <c r="FA34" s="262"/>
      <c r="FB34" s="262"/>
      <c r="FC34" s="262"/>
      <c r="FD34" s="262"/>
      <c r="FE34" s="262"/>
      <c r="FF34" s="262"/>
      <c r="FG34" s="262"/>
      <c r="FH34" s="262"/>
      <c r="FI34" s="262"/>
      <c r="FJ34" s="262"/>
      <c r="FK34" s="262"/>
      <c r="FL34" s="262"/>
      <c r="FM34" s="262"/>
      <c r="FN34" s="262"/>
      <c r="FO34" s="262"/>
      <c r="FP34" s="262"/>
      <c r="FQ34" s="262"/>
      <c r="FR34" s="262"/>
      <c r="FS34" s="262"/>
      <c r="FT34" s="262"/>
      <c r="FU34" s="262"/>
      <c r="FV34" s="262"/>
      <c r="FW34" s="262"/>
      <c r="FX34" s="262"/>
      <c r="FY34" s="262"/>
      <c r="FZ34" s="262"/>
      <c r="GA34" s="262"/>
      <c r="GB34" s="262"/>
      <c r="GC34" s="262"/>
      <c r="GD34" s="262"/>
      <c r="GE34" s="262"/>
      <c r="GF34" s="262"/>
      <c r="GG34" s="262"/>
      <c r="GH34" s="262"/>
      <c r="GI34" s="262"/>
      <c r="GJ34" s="262"/>
      <c r="GK34" s="262"/>
      <c r="GL34" s="262"/>
      <c r="GM34" s="262"/>
      <c r="GN34" s="262"/>
      <c r="GO34" s="262"/>
      <c r="GP34" s="262"/>
      <c r="GQ34" s="262"/>
      <c r="GR34" s="262"/>
      <c r="GS34" s="262"/>
      <c r="GT34" s="262"/>
      <c r="GU34" s="262"/>
      <c r="GV34" s="262"/>
      <c r="GW34" s="262"/>
      <c r="GX34" s="262"/>
      <c r="GY34" s="262"/>
      <c r="GZ34" s="262"/>
      <c r="HA34" s="262"/>
      <c r="HB34" s="262"/>
      <c r="HC34" s="262"/>
      <c r="HD34" s="262"/>
      <c r="HE34" s="262"/>
      <c r="HF34" s="262"/>
      <c r="HG34" s="262"/>
      <c r="HH34" s="262"/>
      <c r="HI34" s="262"/>
      <c r="HJ34" s="262"/>
      <c r="HK34" s="262"/>
      <c r="HL34" s="262"/>
      <c r="HM34" s="262"/>
      <c r="HN34" s="262"/>
      <c r="HO34" s="262"/>
      <c r="HP34" s="262"/>
      <c r="HQ34" s="262"/>
      <c r="HR34" s="262"/>
      <c r="HS34" s="262"/>
      <c r="HT34" s="262"/>
      <c r="HU34" s="262"/>
      <c r="HV34" s="262"/>
      <c r="HW34" s="262"/>
      <c r="HX34" s="262"/>
      <c r="HY34" s="262"/>
      <c r="HZ34" s="262"/>
    </row>
    <row r="35" spans="1:234" s="32" customFormat="1" ht="22.5" x14ac:dyDescent="0.25">
      <c r="A35" s="52">
        <f>IF(COUNTBLANK(B35)=1," ",COUNTA($B$12:B35))</f>
        <v>11</v>
      </c>
      <c r="B35" s="288" t="s">
        <v>14</v>
      </c>
      <c r="C35" s="54" t="s">
        <v>273</v>
      </c>
      <c r="D35" s="743" t="s">
        <v>26</v>
      </c>
      <c r="E35" s="10">
        <f>0.47*0.47*2.1*22+0.47*0.47*5</f>
        <v>11.310079999999999</v>
      </c>
      <c r="F35" s="291"/>
      <c r="G35" s="136"/>
      <c r="H35" s="271"/>
      <c r="I35" s="12"/>
      <c r="J35" s="306"/>
      <c r="K35" s="136"/>
      <c r="L35" s="305"/>
      <c r="M35" s="275"/>
      <c r="N35" s="275"/>
      <c r="O35" s="275"/>
      <c r="P35" s="275"/>
      <c r="Q35" s="275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  <c r="AC35" s="422"/>
      <c r="AD35" s="422"/>
      <c r="AE35" s="422"/>
      <c r="AF35" s="422"/>
      <c r="AG35" s="422"/>
      <c r="AH35" s="422"/>
      <c r="AI35" s="422"/>
      <c r="AJ35" s="422"/>
      <c r="AK35" s="422"/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2"/>
      <c r="AY35" s="422"/>
      <c r="AZ35" s="422"/>
      <c r="BA35" s="422"/>
      <c r="BB35" s="422"/>
      <c r="BC35" s="422"/>
      <c r="BD35" s="422"/>
      <c r="BE35" s="422"/>
      <c r="BF35" s="422"/>
      <c r="BG35" s="422"/>
      <c r="BH35" s="422"/>
      <c r="BI35" s="422"/>
      <c r="BJ35" s="422"/>
      <c r="BK35" s="422"/>
      <c r="BL35" s="422"/>
      <c r="BM35" s="422"/>
      <c r="BN35" s="422"/>
      <c r="BO35" s="422"/>
      <c r="BP35" s="422"/>
      <c r="BQ35" s="422"/>
      <c r="BR35" s="422"/>
      <c r="BS35" s="422"/>
      <c r="BT35" s="422"/>
      <c r="BU35" s="422"/>
      <c r="BV35" s="422"/>
      <c r="BW35" s="422"/>
      <c r="BX35" s="422"/>
      <c r="BY35" s="422"/>
      <c r="BZ35" s="422"/>
      <c r="CA35" s="422"/>
      <c r="CB35" s="422"/>
      <c r="CC35" s="422"/>
      <c r="CD35" s="422"/>
      <c r="CE35" s="422"/>
      <c r="CF35" s="422"/>
      <c r="CG35" s="422"/>
      <c r="CH35" s="422"/>
      <c r="CI35" s="422"/>
      <c r="CJ35" s="422"/>
      <c r="CK35" s="422"/>
      <c r="CL35" s="422"/>
      <c r="CM35" s="422"/>
      <c r="CN35" s="422"/>
      <c r="CO35" s="422"/>
      <c r="CP35" s="422"/>
      <c r="CQ35" s="422"/>
      <c r="CR35" s="422"/>
      <c r="CS35" s="422"/>
      <c r="CT35" s="422"/>
      <c r="CU35" s="422"/>
      <c r="CV35" s="422"/>
      <c r="CW35" s="422"/>
      <c r="CX35" s="422"/>
      <c r="CY35" s="422"/>
      <c r="CZ35" s="422"/>
      <c r="DA35" s="422"/>
      <c r="DB35" s="422"/>
      <c r="DC35" s="422"/>
      <c r="DD35" s="422"/>
      <c r="DE35" s="422"/>
      <c r="DF35" s="422"/>
      <c r="DG35" s="422"/>
      <c r="DH35" s="422"/>
      <c r="DI35" s="422"/>
      <c r="DJ35" s="422"/>
      <c r="DK35" s="422"/>
      <c r="DL35" s="422"/>
      <c r="DM35" s="422"/>
      <c r="DN35" s="422"/>
      <c r="DO35" s="422"/>
      <c r="DP35" s="422"/>
      <c r="DQ35" s="422"/>
      <c r="DR35" s="422"/>
      <c r="DS35" s="422"/>
      <c r="DT35" s="422"/>
      <c r="DU35" s="422"/>
      <c r="DV35" s="422"/>
      <c r="DW35" s="422"/>
      <c r="DX35" s="422"/>
      <c r="DY35" s="422"/>
      <c r="DZ35" s="422"/>
      <c r="EA35" s="422"/>
      <c r="EB35" s="422"/>
      <c r="EC35" s="422"/>
      <c r="ED35" s="422"/>
      <c r="EE35" s="422"/>
      <c r="EF35" s="422"/>
      <c r="EG35" s="422"/>
      <c r="EH35" s="422"/>
      <c r="EI35" s="422"/>
      <c r="EJ35" s="422"/>
      <c r="EK35" s="422"/>
      <c r="EL35" s="422"/>
      <c r="EM35" s="422"/>
      <c r="EN35" s="422"/>
      <c r="EO35" s="422"/>
      <c r="EP35" s="422"/>
      <c r="EQ35" s="422"/>
      <c r="ER35" s="422"/>
      <c r="ES35" s="422"/>
      <c r="ET35" s="422"/>
      <c r="EU35" s="422"/>
      <c r="EV35" s="422"/>
      <c r="EW35" s="422"/>
      <c r="EX35" s="422"/>
      <c r="EY35" s="422"/>
      <c r="EZ35" s="422"/>
      <c r="FA35" s="422"/>
      <c r="FB35" s="422"/>
      <c r="FC35" s="422"/>
      <c r="FD35" s="422"/>
      <c r="FE35" s="422"/>
      <c r="FF35" s="422"/>
      <c r="FG35" s="422"/>
      <c r="FH35" s="422"/>
      <c r="FI35" s="422"/>
      <c r="FJ35" s="422"/>
      <c r="FK35" s="422"/>
      <c r="FL35" s="422"/>
      <c r="FM35" s="422"/>
      <c r="FN35" s="422"/>
      <c r="FO35" s="422"/>
      <c r="FP35" s="422"/>
      <c r="FQ35" s="422"/>
      <c r="FR35" s="422"/>
      <c r="FS35" s="422"/>
      <c r="FT35" s="422"/>
      <c r="FU35" s="422"/>
      <c r="FV35" s="422"/>
      <c r="FW35" s="422"/>
      <c r="FX35" s="422"/>
      <c r="FY35" s="422"/>
      <c r="FZ35" s="422"/>
      <c r="GA35" s="422"/>
      <c r="GB35" s="422"/>
      <c r="GC35" s="422"/>
      <c r="GD35" s="422"/>
      <c r="GE35" s="422"/>
      <c r="GF35" s="422"/>
      <c r="GG35" s="422"/>
      <c r="GH35" s="422"/>
      <c r="GI35" s="422"/>
      <c r="GJ35" s="422"/>
      <c r="GK35" s="422"/>
      <c r="GL35" s="422"/>
      <c r="GM35" s="422"/>
      <c r="GN35" s="422"/>
      <c r="GO35" s="422"/>
      <c r="GP35" s="422"/>
      <c r="GQ35" s="422"/>
      <c r="GR35" s="422"/>
      <c r="GS35" s="422"/>
      <c r="GT35" s="422"/>
      <c r="GU35" s="422"/>
      <c r="GV35" s="422"/>
      <c r="GW35" s="422"/>
      <c r="GX35" s="422"/>
      <c r="GY35" s="422"/>
      <c r="GZ35" s="422"/>
      <c r="HA35" s="422"/>
      <c r="HB35" s="422"/>
      <c r="HC35" s="422"/>
      <c r="HD35" s="422"/>
      <c r="HE35" s="422"/>
      <c r="HF35" s="422"/>
      <c r="HG35" s="422"/>
      <c r="HH35" s="422"/>
      <c r="HI35" s="422"/>
      <c r="HJ35" s="422"/>
      <c r="HK35" s="422"/>
      <c r="HL35" s="422"/>
      <c r="HM35" s="422"/>
      <c r="HN35" s="422"/>
      <c r="HO35" s="422"/>
      <c r="HP35" s="422"/>
      <c r="HQ35" s="422"/>
      <c r="HR35" s="422"/>
      <c r="HS35" s="422"/>
      <c r="HT35" s="422"/>
      <c r="HU35" s="422"/>
      <c r="HV35" s="422"/>
      <c r="HW35" s="422"/>
      <c r="HX35" s="422"/>
      <c r="HY35" s="422"/>
      <c r="HZ35" s="422"/>
    </row>
    <row r="36" spans="1:234" s="32" customFormat="1" x14ac:dyDescent="0.25">
      <c r="A36" s="52" t="str">
        <f>IF(COUNTBLANK(B36)=1," ",COUNTA($B$12:B36))</f>
        <v xml:space="preserve"> </v>
      </c>
      <c r="B36" s="268"/>
      <c r="C36" s="423" t="s">
        <v>429</v>
      </c>
      <c r="D36" s="300" t="s">
        <v>26</v>
      </c>
      <c r="E36" s="290">
        <f>ROUNDUP(E35*F36,2)</f>
        <v>1.7</v>
      </c>
      <c r="F36" s="291">
        <v>0.15</v>
      </c>
      <c r="G36" s="136"/>
      <c r="H36" s="136"/>
      <c r="I36" s="136"/>
      <c r="J36" s="136"/>
      <c r="K36" s="136"/>
      <c r="L36" s="305"/>
      <c r="M36" s="275"/>
      <c r="N36" s="275"/>
      <c r="O36" s="275"/>
      <c r="P36" s="275"/>
      <c r="Q36" s="275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22"/>
      <c r="BD36" s="422"/>
      <c r="BE36" s="422"/>
      <c r="BF36" s="422"/>
      <c r="BG36" s="422"/>
      <c r="BH36" s="422"/>
      <c r="BI36" s="422"/>
      <c r="BJ36" s="422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422"/>
      <c r="CE36" s="422"/>
      <c r="CF36" s="422"/>
      <c r="CG36" s="422"/>
      <c r="CH36" s="422"/>
      <c r="CI36" s="422"/>
      <c r="CJ36" s="422"/>
      <c r="CK36" s="422"/>
      <c r="CL36" s="422"/>
      <c r="CM36" s="422"/>
      <c r="CN36" s="422"/>
      <c r="CO36" s="422"/>
      <c r="CP36" s="422"/>
      <c r="CQ36" s="422"/>
      <c r="CR36" s="422"/>
      <c r="CS36" s="422"/>
      <c r="CT36" s="422"/>
      <c r="CU36" s="422"/>
      <c r="CV36" s="422"/>
      <c r="CW36" s="422"/>
      <c r="CX36" s="422"/>
      <c r="CY36" s="422"/>
      <c r="CZ36" s="422"/>
      <c r="DA36" s="422"/>
      <c r="DB36" s="422"/>
      <c r="DC36" s="422"/>
      <c r="DD36" s="422"/>
      <c r="DE36" s="422"/>
      <c r="DF36" s="422"/>
      <c r="DG36" s="422"/>
      <c r="DH36" s="422"/>
      <c r="DI36" s="422"/>
      <c r="DJ36" s="422"/>
      <c r="DK36" s="422"/>
      <c r="DL36" s="422"/>
      <c r="DM36" s="422"/>
      <c r="DN36" s="422"/>
      <c r="DO36" s="422"/>
      <c r="DP36" s="422"/>
      <c r="DQ36" s="422"/>
      <c r="DR36" s="422"/>
      <c r="DS36" s="422"/>
      <c r="DT36" s="422"/>
      <c r="DU36" s="422"/>
      <c r="DV36" s="422"/>
      <c r="DW36" s="422"/>
      <c r="DX36" s="422"/>
      <c r="DY36" s="422"/>
      <c r="DZ36" s="422"/>
      <c r="EA36" s="422"/>
      <c r="EB36" s="422"/>
      <c r="EC36" s="422"/>
      <c r="ED36" s="422"/>
      <c r="EE36" s="422"/>
      <c r="EF36" s="422"/>
      <c r="EG36" s="422"/>
      <c r="EH36" s="422"/>
      <c r="EI36" s="422"/>
      <c r="EJ36" s="422"/>
      <c r="EK36" s="422"/>
      <c r="EL36" s="422"/>
      <c r="EM36" s="422"/>
      <c r="EN36" s="422"/>
      <c r="EO36" s="422"/>
      <c r="EP36" s="422"/>
      <c r="EQ36" s="422"/>
      <c r="ER36" s="422"/>
      <c r="ES36" s="422"/>
      <c r="ET36" s="422"/>
      <c r="EU36" s="422"/>
      <c r="EV36" s="422"/>
      <c r="EW36" s="422"/>
      <c r="EX36" s="422"/>
      <c r="EY36" s="422"/>
      <c r="EZ36" s="422"/>
      <c r="FA36" s="422"/>
      <c r="FB36" s="422"/>
      <c r="FC36" s="422"/>
      <c r="FD36" s="422"/>
      <c r="FE36" s="422"/>
      <c r="FF36" s="422"/>
      <c r="FG36" s="422"/>
      <c r="FH36" s="422"/>
      <c r="FI36" s="422"/>
      <c r="FJ36" s="422"/>
      <c r="FK36" s="422"/>
      <c r="FL36" s="422"/>
      <c r="FM36" s="422"/>
      <c r="FN36" s="422"/>
      <c r="FO36" s="422"/>
      <c r="FP36" s="422"/>
      <c r="FQ36" s="422"/>
      <c r="FR36" s="422"/>
      <c r="FS36" s="422"/>
      <c r="FT36" s="422"/>
      <c r="FU36" s="422"/>
      <c r="FV36" s="422"/>
      <c r="FW36" s="422"/>
      <c r="FX36" s="422"/>
      <c r="FY36" s="422"/>
      <c r="FZ36" s="422"/>
      <c r="GA36" s="422"/>
      <c r="GB36" s="422"/>
      <c r="GC36" s="422"/>
      <c r="GD36" s="422"/>
      <c r="GE36" s="422"/>
      <c r="GF36" s="422"/>
      <c r="GG36" s="422"/>
      <c r="GH36" s="422"/>
      <c r="GI36" s="422"/>
      <c r="GJ36" s="422"/>
      <c r="GK36" s="422"/>
      <c r="GL36" s="422"/>
      <c r="GM36" s="422"/>
      <c r="GN36" s="422"/>
      <c r="GO36" s="422"/>
      <c r="GP36" s="422"/>
      <c r="GQ36" s="422"/>
      <c r="GR36" s="422"/>
      <c r="GS36" s="422"/>
      <c r="GT36" s="422"/>
      <c r="GU36" s="422"/>
      <c r="GV36" s="422"/>
      <c r="GW36" s="422"/>
      <c r="GX36" s="422"/>
      <c r="GY36" s="422"/>
      <c r="GZ36" s="422"/>
      <c r="HA36" s="422"/>
      <c r="HB36" s="422"/>
      <c r="HC36" s="422"/>
      <c r="HD36" s="422"/>
      <c r="HE36" s="422"/>
      <c r="HF36" s="422"/>
      <c r="HG36" s="422"/>
      <c r="HH36" s="422"/>
      <c r="HI36" s="422"/>
      <c r="HJ36" s="422"/>
      <c r="HK36" s="422"/>
      <c r="HL36" s="422"/>
      <c r="HM36" s="422"/>
      <c r="HN36" s="422"/>
      <c r="HO36" s="422"/>
      <c r="HP36" s="422"/>
      <c r="HQ36" s="422"/>
      <c r="HR36" s="422"/>
      <c r="HS36" s="422"/>
      <c r="HT36" s="422"/>
      <c r="HU36" s="422"/>
      <c r="HV36" s="422"/>
      <c r="HW36" s="422"/>
      <c r="HX36" s="422"/>
      <c r="HY36" s="422"/>
      <c r="HZ36" s="422"/>
    </row>
    <row r="37" spans="1:234" s="32" customFormat="1" x14ac:dyDescent="0.25">
      <c r="A37" s="52" t="str">
        <f>IF(COUNTBLANK(B37)=1," ",COUNTA($B$12:B37))</f>
        <v xml:space="preserve"> </v>
      </c>
      <c r="B37" s="268"/>
      <c r="C37" s="423" t="s">
        <v>430</v>
      </c>
      <c r="D37" s="300" t="s">
        <v>26</v>
      </c>
      <c r="E37" s="290">
        <f>ROUNDUP(E35*F37,2)</f>
        <v>10.52</v>
      </c>
      <c r="F37" s="291">
        <v>0.93</v>
      </c>
      <c r="G37" s="136"/>
      <c r="H37" s="136"/>
      <c r="I37" s="136"/>
      <c r="J37" s="136"/>
      <c r="K37" s="136"/>
      <c r="L37" s="305"/>
      <c r="M37" s="275"/>
      <c r="N37" s="275"/>
      <c r="O37" s="275"/>
      <c r="P37" s="275"/>
      <c r="Q37" s="275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  <c r="AM37" s="424"/>
      <c r="AN37" s="424"/>
      <c r="AO37" s="424"/>
      <c r="AP37" s="424"/>
      <c r="AQ37" s="424"/>
      <c r="AR37" s="424"/>
      <c r="AS37" s="424"/>
      <c r="AT37" s="424"/>
      <c r="AU37" s="424"/>
      <c r="AV37" s="424"/>
      <c r="AW37" s="424"/>
      <c r="AX37" s="424"/>
      <c r="AY37" s="424"/>
      <c r="AZ37" s="424"/>
      <c r="BA37" s="424"/>
      <c r="BB37" s="424"/>
      <c r="BC37" s="424"/>
      <c r="BD37" s="424"/>
      <c r="BE37" s="424"/>
      <c r="BF37" s="424"/>
      <c r="BG37" s="424"/>
      <c r="BH37" s="424"/>
      <c r="BI37" s="424"/>
      <c r="BJ37" s="424"/>
      <c r="BK37" s="424"/>
      <c r="BL37" s="424"/>
      <c r="BM37" s="424"/>
      <c r="BN37" s="424"/>
      <c r="BO37" s="424"/>
      <c r="BP37" s="424"/>
      <c r="BQ37" s="424"/>
      <c r="BR37" s="424"/>
      <c r="BS37" s="424"/>
      <c r="BT37" s="424"/>
      <c r="BU37" s="424"/>
      <c r="BV37" s="424"/>
      <c r="BW37" s="424"/>
      <c r="BX37" s="424"/>
      <c r="BY37" s="424"/>
      <c r="BZ37" s="424"/>
      <c r="CA37" s="424"/>
      <c r="CB37" s="424"/>
      <c r="CC37" s="424"/>
      <c r="CD37" s="424"/>
      <c r="CE37" s="424"/>
      <c r="CF37" s="424"/>
      <c r="CG37" s="424"/>
      <c r="CH37" s="424"/>
      <c r="CI37" s="424"/>
      <c r="CJ37" s="424"/>
      <c r="CK37" s="424"/>
      <c r="CL37" s="424"/>
      <c r="CM37" s="424"/>
      <c r="CN37" s="424"/>
      <c r="CO37" s="424"/>
      <c r="CP37" s="424"/>
      <c r="CQ37" s="424"/>
      <c r="CR37" s="424"/>
      <c r="CS37" s="424"/>
      <c r="CT37" s="424"/>
      <c r="CU37" s="424"/>
      <c r="CV37" s="424"/>
      <c r="CW37" s="424"/>
      <c r="CX37" s="424"/>
      <c r="CY37" s="424"/>
      <c r="CZ37" s="424"/>
      <c r="DA37" s="424"/>
      <c r="DB37" s="424"/>
      <c r="DC37" s="424"/>
      <c r="DD37" s="424"/>
      <c r="DE37" s="424"/>
      <c r="DF37" s="424"/>
      <c r="DG37" s="424"/>
      <c r="DH37" s="424"/>
      <c r="DI37" s="424"/>
      <c r="DJ37" s="424"/>
      <c r="DK37" s="424"/>
      <c r="DL37" s="424"/>
      <c r="DM37" s="424"/>
      <c r="DN37" s="424"/>
      <c r="DO37" s="424"/>
      <c r="DP37" s="424"/>
      <c r="DQ37" s="424"/>
      <c r="DR37" s="424"/>
      <c r="DS37" s="424"/>
      <c r="DT37" s="424"/>
      <c r="DU37" s="424"/>
      <c r="DV37" s="424"/>
      <c r="DW37" s="424"/>
      <c r="DX37" s="424"/>
      <c r="DY37" s="424"/>
      <c r="DZ37" s="424"/>
      <c r="EA37" s="424"/>
      <c r="EB37" s="424"/>
      <c r="EC37" s="424"/>
      <c r="ED37" s="424"/>
      <c r="EE37" s="424"/>
      <c r="EF37" s="424"/>
      <c r="EG37" s="424"/>
      <c r="EH37" s="424"/>
      <c r="EI37" s="424"/>
      <c r="EJ37" s="424"/>
      <c r="EK37" s="424"/>
      <c r="EL37" s="424"/>
      <c r="EM37" s="424"/>
      <c r="EN37" s="424"/>
      <c r="EO37" s="424"/>
      <c r="EP37" s="424"/>
      <c r="EQ37" s="424"/>
      <c r="ER37" s="424"/>
      <c r="ES37" s="424"/>
      <c r="ET37" s="424"/>
      <c r="EU37" s="424"/>
      <c r="EV37" s="424"/>
      <c r="EW37" s="424"/>
      <c r="EX37" s="424"/>
      <c r="EY37" s="424"/>
      <c r="EZ37" s="424"/>
      <c r="FA37" s="424"/>
      <c r="FB37" s="424"/>
      <c r="FC37" s="424"/>
      <c r="FD37" s="424"/>
      <c r="FE37" s="424"/>
      <c r="FF37" s="424"/>
      <c r="FG37" s="424"/>
      <c r="FH37" s="424"/>
      <c r="FI37" s="424"/>
      <c r="FJ37" s="424"/>
      <c r="FK37" s="424"/>
      <c r="FL37" s="424"/>
      <c r="FM37" s="424"/>
      <c r="FN37" s="424"/>
      <c r="FO37" s="424"/>
      <c r="FP37" s="424"/>
      <c r="FQ37" s="424"/>
      <c r="FR37" s="424"/>
      <c r="FS37" s="424"/>
      <c r="FT37" s="424"/>
      <c r="FU37" s="424"/>
      <c r="FV37" s="424"/>
      <c r="FW37" s="424"/>
      <c r="FX37" s="424"/>
      <c r="FY37" s="424"/>
      <c r="FZ37" s="424"/>
      <c r="GA37" s="424"/>
      <c r="GB37" s="424"/>
      <c r="GC37" s="424"/>
      <c r="GD37" s="424"/>
      <c r="GE37" s="424"/>
      <c r="GF37" s="424"/>
      <c r="GG37" s="424"/>
      <c r="GH37" s="424"/>
      <c r="GI37" s="424"/>
      <c r="GJ37" s="424"/>
      <c r="GK37" s="424"/>
      <c r="GL37" s="424"/>
      <c r="GM37" s="424"/>
      <c r="GN37" s="424"/>
      <c r="GO37" s="424"/>
      <c r="GP37" s="424"/>
      <c r="GQ37" s="424"/>
      <c r="GR37" s="424"/>
      <c r="GS37" s="424"/>
      <c r="GT37" s="424"/>
      <c r="GU37" s="424"/>
      <c r="GV37" s="424"/>
      <c r="GW37" s="424"/>
      <c r="GX37" s="424"/>
      <c r="GY37" s="424"/>
      <c r="GZ37" s="424"/>
      <c r="HA37" s="424"/>
      <c r="HB37" s="424"/>
      <c r="HC37" s="424"/>
      <c r="HD37" s="424"/>
      <c r="HE37" s="424"/>
      <c r="HF37" s="424"/>
      <c r="HG37" s="424"/>
      <c r="HH37" s="424"/>
      <c r="HI37" s="424"/>
      <c r="HJ37" s="424"/>
      <c r="HK37" s="424"/>
      <c r="HL37" s="424"/>
      <c r="HM37" s="424"/>
      <c r="HN37" s="424"/>
      <c r="HO37" s="424"/>
      <c r="HP37" s="424"/>
      <c r="HQ37" s="424"/>
      <c r="HR37" s="424"/>
      <c r="HS37" s="424"/>
      <c r="HT37" s="424"/>
      <c r="HU37" s="424"/>
      <c r="HV37" s="424"/>
      <c r="HW37" s="424"/>
      <c r="HX37" s="424"/>
      <c r="HY37" s="424"/>
      <c r="HZ37" s="424"/>
    </row>
    <row r="38" spans="1:234" s="32" customFormat="1" x14ac:dyDescent="0.25">
      <c r="A38" s="52" t="str">
        <f>IF(COUNTBLANK(B38)=1," ",COUNTA($B$12:B38))</f>
        <v xml:space="preserve"> </v>
      </c>
      <c r="B38" s="268"/>
      <c r="C38" s="423" t="s">
        <v>38</v>
      </c>
      <c r="D38" s="268" t="s">
        <v>211</v>
      </c>
      <c r="E38" s="290">
        <f>ROUNDUP(E35*F38,0)</f>
        <v>3</v>
      </c>
      <c r="F38" s="291">
        <v>0.25</v>
      </c>
      <c r="G38" s="136"/>
      <c r="H38" s="136"/>
      <c r="I38" s="136"/>
      <c r="J38" s="136"/>
      <c r="K38" s="136"/>
      <c r="L38" s="305"/>
      <c r="M38" s="275"/>
      <c r="N38" s="275"/>
      <c r="O38" s="275"/>
      <c r="P38" s="275"/>
      <c r="Q38" s="275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</row>
    <row r="39" spans="1:234" s="144" customFormat="1" ht="22.5" x14ac:dyDescent="0.25">
      <c r="A39" s="52">
        <f>IF(COUNTBLANK(B39)=1," ",COUNTA($B$12:B39))</f>
        <v>12</v>
      </c>
      <c r="B39" s="288" t="s">
        <v>14</v>
      </c>
      <c r="C39" s="54" t="s">
        <v>274</v>
      </c>
      <c r="D39" s="377" t="s">
        <v>17</v>
      </c>
      <c r="E39" s="377">
        <v>47</v>
      </c>
      <c r="F39" s="211"/>
      <c r="G39" s="60"/>
      <c r="H39" s="271"/>
      <c r="I39" s="15"/>
      <c r="J39" s="15"/>
      <c r="K39" s="60"/>
      <c r="L39" s="305"/>
      <c r="M39" s="275"/>
      <c r="N39" s="275"/>
      <c r="O39" s="275"/>
      <c r="P39" s="275"/>
      <c r="Q39" s="275"/>
    </row>
    <row r="40" spans="1:234" s="94" customFormat="1" ht="12.75" x14ac:dyDescent="0.25">
      <c r="A40" s="52" t="str">
        <f>IF(COUNTBLANK(B40)=1," ",COUNTA($B$12:B40))</f>
        <v xml:space="preserve"> </v>
      </c>
      <c r="B40" s="210"/>
      <c r="C40" s="327" t="s">
        <v>435</v>
      </c>
      <c r="D40" s="210" t="s">
        <v>23</v>
      </c>
      <c r="E40" s="420">
        <f>E39*F40</f>
        <v>56.4</v>
      </c>
      <c r="F40" s="211">
        <v>1.2</v>
      </c>
      <c r="G40" s="671"/>
      <c r="H40" s="671"/>
      <c r="I40" s="671"/>
      <c r="J40" s="127"/>
      <c r="K40" s="671"/>
      <c r="L40" s="305"/>
      <c r="M40" s="275"/>
      <c r="N40" s="275"/>
      <c r="O40" s="275"/>
      <c r="P40" s="275"/>
      <c r="Q40" s="275"/>
    </row>
    <row r="41" spans="1:234" s="140" customFormat="1" x14ac:dyDescent="0.25">
      <c r="A41" s="52" t="str">
        <f>IF(COUNTBLANK(B41)=1," ",COUNTA($B$12:B41))</f>
        <v xml:space="preserve"> </v>
      </c>
      <c r="B41" s="210"/>
      <c r="C41" s="327" t="s">
        <v>39</v>
      </c>
      <c r="D41" s="210" t="s">
        <v>23</v>
      </c>
      <c r="E41" s="209">
        <f>ROUNDUP(E39*F41,0)</f>
        <v>29</v>
      </c>
      <c r="F41" s="211">
        <v>0.6</v>
      </c>
      <c r="G41" s="211"/>
      <c r="H41" s="435"/>
      <c r="I41" s="211"/>
      <c r="J41" s="211"/>
      <c r="K41" s="211"/>
      <c r="L41" s="305"/>
      <c r="M41" s="275"/>
      <c r="N41" s="275"/>
      <c r="O41" s="275"/>
      <c r="P41" s="275"/>
      <c r="Q41" s="275"/>
    </row>
    <row r="42" spans="1:234" s="32" customFormat="1" ht="22.5" x14ac:dyDescent="0.25">
      <c r="A42" s="52">
        <f>IF(COUNTBLANK(B42)=1," ",COUNTA($B$12:B42))</f>
        <v>13</v>
      </c>
      <c r="B42" s="288" t="s">
        <v>14</v>
      </c>
      <c r="C42" s="679" t="s">
        <v>275</v>
      </c>
      <c r="D42" s="377" t="s">
        <v>32</v>
      </c>
      <c r="E42" s="377">
        <v>27</v>
      </c>
      <c r="F42" s="145"/>
      <c r="G42" s="60"/>
      <c r="H42" s="271"/>
      <c r="I42" s="60"/>
      <c r="J42" s="12"/>
      <c r="K42" s="60"/>
      <c r="L42" s="305"/>
      <c r="M42" s="275"/>
      <c r="N42" s="275"/>
      <c r="O42" s="275"/>
      <c r="P42" s="275"/>
      <c r="Q42" s="275"/>
    </row>
    <row r="43" spans="1:234" s="32" customFormat="1" ht="22.5" x14ac:dyDescent="0.25">
      <c r="A43" s="52" t="str">
        <f>IF(COUNTBLANK(B43)=1," ",COUNTA($B$12:B43))</f>
        <v xml:space="preserve"> </v>
      </c>
      <c r="B43" s="357"/>
      <c r="C43" s="54" t="s">
        <v>276</v>
      </c>
      <c r="D43" s="377" t="s">
        <v>23</v>
      </c>
      <c r="E43" s="53">
        <f>0.004*0.04*54*7800</f>
        <v>67.391999999999996</v>
      </c>
      <c r="F43" s="145"/>
      <c r="G43" s="33"/>
      <c r="H43" s="33"/>
      <c r="I43" s="33"/>
      <c r="J43" s="33"/>
      <c r="K43" s="33"/>
      <c r="L43" s="305"/>
      <c r="M43" s="275"/>
      <c r="N43" s="275"/>
      <c r="O43" s="275"/>
      <c r="P43" s="275"/>
      <c r="Q43" s="275"/>
    </row>
    <row r="44" spans="1:234" s="32" customFormat="1" ht="22.5" x14ac:dyDescent="0.25">
      <c r="A44" s="52" t="str">
        <f>IF(COUNTBLANK(B44)=1," ",COUNTA($B$12:B44))</f>
        <v xml:space="preserve"> </v>
      </c>
      <c r="B44" s="357"/>
      <c r="C44" s="54" t="s">
        <v>277</v>
      </c>
      <c r="D44" s="377" t="s">
        <v>23</v>
      </c>
      <c r="E44" s="53">
        <f>0.004*0.04*51.3*7800</f>
        <v>64.022400000000005</v>
      </c>
      <c r="F44" s="145"/>
      <c r="G44" s="33"/>
      <c r="H44" s="33"/>
      <c r="I44" s="33"/>
      <c r="J44" s="33"/>
      <c r="K44" s="33"/>
      <c r="L44" s="305"/>
      <c r="M44" s="275"/>
      <c r="N44" s="275"/>
      <c r="O44" s="275"/>
      <c r="P44" s="275"/>
      <c r="Q44" s="275"/>
    </row>
    <row r="45" spans="1:234" s="32" customFormat="1" x14ac:dyDescent="0.25">
      <c r="A45" s="52" t="str">
        <f>IF(COUNTBLANK(B45)=1," ",COUNTA($B$12:B45))</f>
        <v xml:space="preserve"> </v>
      </c>
      <c r="B45" s="357"/>
      <c r="C45" s="54" t="s">
        <v>278</v>
      </c>
      <c r="D45" s="377" t="s">
        <v>32</v>
      </c>
      <c r="E45" s="377">
        <v>216</v>
      </c>
      <c r="F45" s="145"/>
      <c r="G45" s="33"/>
      <c r="H45" s="33"/>
      <c r="I45" s="33"/>
      <c r="J45" s="33"/>
      <c r="K45" s="33"/>
      <c r="L45" s="305"/>
      <c r="M45" s="275"/>
      <c r="N45" s="275"/>
      <c r="O45" s="275"/>
      <c r="P45" s="275"/>
      <c r="Q45" s="275"/>
    </row>
    <row r="46" spans="1:234" s="32" customFormat="1" x14ac:dyDescent="0.25">
      <c r="A46" s="52" t="str">
        <f>IF(COUNTBLANK(B46)=1," ",COUNTA($B$12:B46))</f>
        <v xml:space="preserve"> </v>
      </c>
      <c r="B46" s="357"/>
      <c r="C46" s="54" t="s">
        <v>279</v>
      </c>
      <c r="D46" s="377" t="s">
        <v>17</v>
      </c>
      <c r="E46" s="53">
        <f>0.7*27</f>
        <v>18.899999999999999</v>
      </c>
      <c r="F46" s="145"/>
      <c r="G46" s="33"/>
      <c r="H46" s="33"/>
      <c r="I46" s="33"/>
      <c r="J46" s="33"/>
      <c r="K46" s="33"/>
      <c r="L46" s="305"/>
      <c r="M46" s="275"/>
      <c r="N46" s="275"/>
      <c r="O46" s="275"/>
      <c r="P46" s="275"/>
      <c r="Q46" s="275"/>
    </row>
    <row r="47" spans="1:234" s="32" customFormat="1" ht="22.5" x14ac:dyDescent="0.25">
      <c r="A47" s="52">
        <f>IF(COUNTBLANK(B47)=1," ",COUNTA($B$12:B47))</f>
        <v>14</v>
      </c>
      <c r="B47" s="288" t="s">
        <v>14</v>
      </c>
      <c r="C47" s="54" t="s">
        <v>280</v>
      </c>
      <c r="D47" s="377" t="s">
        <v>17</v>
      </c>
      <c r="E47" s="53">
        <v>8.5</v>
      </c>
      <c r="F47" s="136"/>
      <c r="G47" s="312"/>
      <c r="H47" s="271"/>
      <c r="I47" s="312"/>
      <c r="J47" s="312"/>
      <c r="K47" s="312"/>
      <c r="L47" s="305"/>
      <c r="M47" s="275"/>
      <c r="N47" s="275"/>
      <c r="O47" s="275"/>
      <c r="P47" s="275"/>
      <c r="Q47" s="275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62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2"/>
      <c r="BD47" s="262"/>
      <c r="BE47" s="262"/>
      <c r="BF47" s="262"/>
      <c r="BG47" s="262"/>
      <c r="BH47" s="262"/>
      <c r="BI47" s="262"/>
      <c r="BJ47" s="262"/>
      <c r="BK47" s="262"/>
      <c r="BL47" s="262"/>
      <c r="BM47" s="262"/>
      <c r="BN47" s="262"/>
      <c r="BO47" s="262"/>
      <c r="BP47" s="262"/>
      <c r="BQ47" s="262"/>
      <c r="BR47" s="262"/>
      <c r="BS47" s="262"/>
      <c r="BT47" s="262"/>
      <c r="BU47" s="262"/>
      <c r="BV47" s="262"/>
      <c r="BW47" s="262"/>
      <c r="BX47" s="262"/>
      <c r="BY47" s="262"/>
      <c r="BZ47" s="262"/>
      <c r="CA47" s="262"/>
      <c r="CB47" s="262"/>
      <c r="CC47" s="262"/>
      <c r="CD47" s="262"/>
      <c r="CE47" s="262"/>
      <c r="CF47" s="262"/>
      <c r="CG47" s="262"/>
      <c r="CH47" s="262"/>
      <c r="CI47" s="262"/>
      <c r="CJ47" s="262"/>
      <c r="CK47" s="262"/>
      <c r="CL47" s="262"/>
      <c r="CM47" s="262"/>
      <c r="CN47" s="262"/>
      <c r="CO47" s="262"/>
      <c r="CP47" s="262"/>
      <c r="CQ47" s="262"/>
      <c r="CR47" s="262"/>
      <c r="CS47" s="262"/>
      <c r="CT47" s="262"/>
      <c r="CU47" s="262"/>
      <c r="CV47" s="262"/>
      <c r="CW47" s="262"/>
      <c r="CX47" s="262"/>
      <c r="CY47" s="262"/>
      <c r="CZ47" s="262"/>
      <c r="DA47" s="262"/>
      <c r="DB47" s="262"/>
      <c r="DC47" s="262"/>
      <c r="DD47" s="262"/>
      <c r="DE47" s="262"/>
      <c r="DF47" s="262"/>
      <c r="DG47" s="262"/>
      <c r="DH47" s="262"/>
      <c r="DI47" s="262"/>
      <c r="DJ47" s="262"/>
      <c r="DK47" s="262"/>
      <c r="DL47" s="262"/>
      <c r="DM47" s="262"/>
      <c r="DN47" s="262"/>
      <c r="DO47" s="262"/>
      <c r="DP47" s="262"/>
      <c r="DQ47" s="262"/>
      <c r="DR47" s="262"/>
      <c r="DS47" s="262"/>
      <c r="DT47" s="262"/>
      <c r="DU47" s="262"/>
      <c r="DV47" s="262"/>
      <c r="DW47" s="262"/>
      <c r="DX47" s="262"/>
      <c r="DY47" s="262"/>
      <c r="DZ47" s="262"/>
      <c r="EA47" s="262"/>
      <c r="EB47" s="262"/>
      <c r="EC47" s="262"/>
      <c r="ED47" s="262"/>
      <c r="EE47" s="262"/>
      <c r="EF47" s="262"/>
      <c r="EG47" s="262"/>
      <c r="EH47" s="262"/>
      <c r="EI47" s="262"/>
      <c r="EJ47" s="262"/>
      <c r="EK47" s="262"/>
      <c r="EL47" s="262"/>
      <c r="EM47" s="262"/>
      <c r="EN47" s="262"/>
      <c r="EO47" s="262"/>
      <c r="EP47" s="262"/>
      <c r="EQ47" s="262"/>
      <c r="ER47" s="262"/>
      <c r="ES47" s="262"/>
      <c r="ET47" s="262"/>
      <c r="EU47" s="262"/>
      <c r="EV47" s="262"/>
      <c r="EW47" s="262"/>
      <c r="EX47" s="262"/>
      <c r="EY47" s="262"/>
      <c r="EZ47" s="262"/>
      <c r="FA47" s="262"/>
      <c r="FB47" s="262"/>
      <c r="FC47" s="262"/>
      <c r="FD47" s="262"/>
      <c r="FE47" s="262"/>
      <c r="FF47" s="262"/>
      <c r="FG47" s="262"/>
      <c r="FH47" s="262"/>
      <c r="FI47" s="262"/>
      <c r="FJ47" s="262"/>
      <c r="FK47" s="262"/>
      <c r="FL47" s="262"/>
      <c r="FM47" s="262"/>
      <c r="FN47" s="262"/>
      <c r="FO47" s="262"/>
      <c r="FP47" s="262"/>
      <c r="FQ47" s="262"/>
      <c r="FR47" s="262"/>
      <c r="FS47" s="262"/>
      <c r="FT47" s="262"/>
      <c r="FU47" s="262"/>
      <c r="FV47" s="262"/>
      <c r="FW47" s="262"/>
      <c r="FX47" s="262"/>
      <c r="FY47" s="262"/>
      <c r="FZ47" s="262"/>
      <c r="GA47" s="262"/>
      <c r="GB47" s="262"/>
      <c r="GC47" s="262"/>
      <c r="GD47" s="262"/>
      <c r="GE47" s="262"/>
      <c r="GF47" s="262"/>
      <c r="GG47" s="262"/>
      <c r="GH47" s="262"/>
      <c r="GI47" s="262"/>
      <c r="GJ47" s="262"/>
      <c r="GK47" s="262"/>
      <c r="GL47" s="262"/>
      <c r="GM47" s="262"/>
      <c r="GN47" s="262"/>
      <c r="GO47" s="262"/>
      <c r="GP47" s="262"/>
      <c r="GQ47" s="262"/>
      <c r="GR47" s="262"/>
      <c r="GS47" s="262"/>
      <c r="GT47" s="262"/>
      <c r="GU47" s="262"/>
      <c r="GV47" s="262"/>
      <c r="GW47" s="262"/>
      <c r="GX47" s="262"/>
      <c r="GY47" s="262"/>
      <c r="GZ47" s="262"/>
      <c r="HA47" s="262"/>
      <c r="HB47" s="262"/>
      <c r="HC47" s="262"/>
      <c r="HD47" s="262"/>
      <c r="HE47" s="262"/>
      <c r="HF47" s="262"/>
      <c r="HG47" s="262"/>
      <c r="HH47" s="262"/>
      <c r="HI47" s="262"/>
      <c r="HJ47" s="262"/>
      <c r="HK47" s="262"/>
      <c r="HL47" s="262"/>
      <c r="HM47" s="262"/>
      <c r="HN47" s="262"/>
      <c r="HO47" s="262"/>
      <c r="HP47" s="262"/>
      <c r="HQ47" s="262"/>
      <c r="HR47" s="262"/>
      <c r="HS47" s="262"/>
      <c r="HT47" s="262"/>
      <c r="HU47" s="262"/>
      <c r="HV47" s="262"/>
      <c r="HW47" s="262"/>
      <c r="HX47" s="262"/>
      <c r="HY47" s="262"/>
      <c r="HZ47" s="262"/>
    </row>
    <row r="48" spans="1:234" s="32" customFormat="1" ht="22.5" x14ac:dyDescent="0.25">
      <c r="A48" s="52" t="str">
        <f>IF(COUNTBLANK(B48)=1," ",COUNTA($B$12:B48))</f>
        <v xml:space="preserve"> </v>
      </c>
      <c r="B48" s="357"/>
      <c r="C48" s="679" t="s">
        <v>281</v>
      </c>
      <c r="D48" s="377"/>
      <c r="E48" s="53"/>
      <c r="F48" s="145"/>
      <c r="G48" s="33"/>
      <c r="H48" s="33"/>
      <c r="I48" s="33"/>
      <c r="J48" s="33"/>
      <c r="K48" s="33"/>
      <c r="L48" s="305"/>
      <c r="M48" s="275"/>
      <c r="N48" s="275"/>
      <c r="O48" s="275"/>
      <c r="P48" s="275"/>
      <c r="Q48" s="275"/>
    </row>
    <row r="49" spans="1:234" s="32" customFormat="1" ht="22.5" x14ac:dyDescent="0.25">
      <c r="A49" s="52">
        <f>IF(COUNTBLANK(B49)=1," ",COUNTA($B$12:B49))</f>
        <v>15</v>
      </c>
      <c r="B49" s="288" t="s">
        <v>14</v>
      </c>
      <c r="C49" s="54" t="s">
        <v>282</v>
      </c>
      <c r="D49" s="377" t="s">
        <v>16</v>
      </c>
      <c r="E49" s="53">
        <v>51.3</v>
      </c>
      <c r="F49" s="145"/>
      <c r="G49" s="136"/>
      <c r="H49" s="271"/>
      <c r="I49" s="436"/>
      <c r="J49" s="306"/>
      <c r="K49" s="136"/>
      <c r="L49" s="305"/>
      <c r="M49" s="275"/>
      <c r="N49" s="275"/>
      <c r="O49" s="275"/>
      <c r="P49" s="275"/>
      <c r="Q49" s="275"/>
    </row>
    <row r="50" spans="1:234" s="32" customFormat="1" ht="22.5" x14ac:dyDescent="0.25">
      <c r="A50" s="52">
        <f>IF(COUNTBLANK(B50)=1," ",COUNTA($B$12:B50))</f>
        <v>16</v>
      </c>
      <c r="B50" s="288" t="s">
        <v>14</v>
      </c>
      <c r="C50" s="54" t="s">
        <v>283</v>
      </c>
      <c r="D50" s="377" t="s">
        <v>17</v>
      </c>
      <c r="E50" s="53">
        <f>51.3*0.3</f>
        <v>15.389999999999999</v>
      </c>
      <c r="F50" s="145"/>
      <c r="G50" s="136"/>
      <c r="H50" s="271"/>
      <c r="I50" s="436"/>
      <c r="J50" s="306"/>
      <c r="K50" s="136"/>
      <c r="L50" s="305"/>
      <c r="M50" s="275"/>
      <c r="N50" s="275"/>
      <c r="O50" s="275"/>
      <c r="P50" s="275"/>
      <c r="Q50" s="275"/>
    </row>
    <row r="51" spans="1:234" s="32" customFormat="1" ht="22.5" x14ac:dyDescent="0.25">
      <c r="A51" s="52">
        <f>IF(COUNTBLANK(B51)=1," ",COUNTA($B$12:B51))</f>
        <v>17</v>
      </c>
      <c r="B51" s="288" t="s">
        <v>14</v>
      </c>
      <c r="C51" s="54" t="s">
        <v>284</v>
      </c>
      <c r="D51" s="377" t="s">
        <v>16</v>
      </c>
      <c r="E51" s="53">
        <v>51.3</v>
      </c>
      <c r="F51" s="145"/>
      <c r="G51" s="136"/>
      <c r="H51" s="271"/>
      <c r="I51" s="436"/>
      <c r="J51" s="306"/>
      <c r="K51" s="136"/>
      <c r="L51" s="305"/>
      <c r="M51" s="275"/>
      <c r="N51" s="275"/>
      <c r="O51" s="275"/>
      <c r="P51" s="275"/>
      <c r="Q51" s="275"/>
    </row>
    <row r="52" spans="1:234" s="32" customFormat="1" ht="22.5" x14ac:dyDescent="0.25">
      <c r="A52" s="52">
        <f>IF(COUNTBLANK(B52)=1," ",COUNTA($B$12:B52))</f>
        <v>18</v>
      </c>
      <c r="B52" s="288" t="s">
        <v>14</v>
      </c>
      <c r="C52" s="679" t="s">
        <v>285</v>
      </c>
      <c r="D52" s="729" t="s">
        <v>289</v>
      </c>
      <c r="E52" s="392">
        <v>0.5</v>
      </c>
      <c r="F52" s="145"/>
      <c r="G52" s="34"/>
      <c r="H52" s="271"/>
      <c r="I52" s="34"/>
      <c r="J52" s="55"/>
      <c r="K52" s="34"/>
      <c r="L52" s="305"/>
      <c r="M52" s="275"/>
      <c r="N52" s="275"/>
      <c r="O52" s="275"/>
      <c r="P52" s="275"/>
      <c r="Q52" s="275"/>
    </row>
    <row r="53" spans="1:234" s="32" customFormat="1" x14ac:dyDescent="0.25">
      <c r="A53" s="52" t="str">
        <f>IF(COUNTBLANK(B53)=1," ",COUNTA($B$12:B53))</f>
        <v xml:space="preserve"> </v>
      </c>
      <c r="B53" s="357"/>
      <c r="C53" s="736" t="s">
        <v>286</v>
      </c>
      <c r="D53" s="729" t="s">
        <v>32</v>
      </c>
      <c r="E53" s="236">
        <v>20</v>
      </c>
      <c r="F53" s="145"/>
      <c r="G53" s="136"/>
      <c r="H53" s="269"/>
      <c r="I53" s="436"/>
      <c r="J53" s="306"/>
      <c r="K53" s="136"/>
      <c r="L53" s="305"/>
      <c r="M53" s="275"/>
      <c r="N53" s="275"/>
      <c r="O53" s="275"/>
      <c r="P53" s="275"/>
      <c r="Q53" s="275"/>
    </row>
    <row r="54" spans="1:234" s="32" customFormat="1" x14ac:dyDescent="0.25">
      <c r="A54" s="52" t="str">
        <f>IF(COUNTBLANK(B54)=1," ",COUNTA($B$12:B54))</f>
        <v xml:space="preserve"> </v>
      </c>
      <c r="B54" s="357"/>
      <c r="C54" s="736" t="s">
        <v>287</v>
      </c>
      <c r="D54" s="729" t="s">
        <v>32</v>
      </c>
      <c r="E54" s="236">
        <v>5</v>
      </c>
      <c r="F54" s="145"/>
      <c r="G54" s="136"/>
      <c r="H54" s="269"/>
      <c r="I54" s="436"/>
      <c r="J54" s="306"/>
      <c r="K54" s="136"/>
      <c r="L54" s="305"/>
      <c r="M54" s="275"/>
      <c r="N54" s="275"/>
      <c r="O54" s="275"/>
      <c r="P54" s="275"/>
      <c r="Q54" s="275"/>
    </row>
    <row r="55" spans="1:234" s="32" customFormat="1" x14ac:dyDescent="0.25">
      <c r="A55" s="52" t="str">
        <f>IF(COUNTBLANK(B55)=1," ",COUNTA($B$12:B55))</f>
        <v xml:space="preserve"> </v>
      </c>
      <c r="B55" s="357"/>
      <c r="C55" s="736" t="s">
        <v>288</v>
      </c>
      <c r="D55" s="729" t="s">
        <v>289</v>
      </c>
      <c r="E55" s="392">
        <v>0.5</v>
      </c>
      <c r="F55" s="145"/>
      <c r="G55" s="34"/>
      <c r="H55" s="269"/>
      <c r="I55" s="34"/>
      <c r="J55" s="55"/>
      <c r="K55" s="34"/>
      <c r="L55" s="305"/>
      <c r="M55" s="275"/>
      <c r="N55" s="275"/>
      <c r="O55" s="275"/>
      <c r="P55" s="275"/>
      <c r="Q55" s="275"/>
    </row>
    <row r="56" spans="1:234" s="32" customFormat="1" x14ac:dyDescent="0.25">
      <c r="A56" s="52" t="str">
        <f>IF(COUNTBLANK(B56)=1," ",COUNTA($B$12:B56))</f>
        <v xml:space="preserve"> </v>
      </c>
      <c r="B56" s="357"/>
      <c r="C56" s="736" t="s">
        <v>290</v>
      </c>
      <c r="D56" s="729" t="s">
        <v>32</v>
      </c>
      <c r="E56" s="236">
        <v>20</v>
      </c>
      <c r="F56" s="145"/>
      <c r="G56" s="136"/>
      <c r="H56" s="269"/>
      <c r="I56" s="436"/>
      <c r="J56" s="306"/>
      <c r="K56" s="136"/>
      <c r="L56" s="305"/>
      <c r="M56" s="275"/>
      <c r="N56" s="275"/>
      <c r="O56" s="275"/>
      <c r="P56" s="275"/>
      <c r="Q56" s="275"/>
    </row>
    <row r="57" spans="1:234" s="32" customFormat="1" x14ac:dyDescent="0.25">
      <c r="A57" s="52" t="str">
        <f>IF(COUNTBLANK(B57)=1," ",COUNTA($B$12:B57))</f>
        <v xml:space="preserve"> </v>
      </c>
      <c r="B57" s="357"/>
      <c r="C57" s="736" t="s">
        <v>291</v>
      </c>
      <c r="D57" s="729" t="s">
        <v>32</v>
      </c>
      <c r="E57" s="236">
        <v>5</v>
      </c>
      <c r="F57" s="145"/>
      <c r="G57" s="136"/>
      <c r="H57" s="269"/>
      <c r="I57" s="436"/>
      <c r="J57" s="306"/>
      <c r="K57" s="136"/>
      <c r="L57" s="305"/>
      <c r="M57" s="275"/>
      <c r="N57" s="275"/>
      <c r="O57" s="275"/>
      <c r="P57" s="275"/>
      <c r="Q57" s="275"/>
    </row>
    <row r="58" spans="1:234" s="32" customFormat="1" x14ac:dyDescent="0.25">
      <c r="A58" s="52" t="str">
        <f>IF(COUNTBLANK(B58)=1," ",COUNTA($B$12:B58))</f>
        <v xml:space="preserve"> </v>
      </c>
      <c r="B58" s="357"/>
      <c r="C58" s="736" t="s">
        <v>292</v>
      </c>
      <c r="D58" s="729" t="s">
        <v>23</v>
      </c>
      <c r="E58" s="392">
        <f>30*5.8</f>
        <v>174</v>
      </c>
      <c r="F58" s="145"/>
      <c r="G58" s="136"/>
      <c r="H58" s="269"/>
      <c r="I58" s="436"/>
      <c r="J58" s="306"/>
      <c r="K58" s="136"/>
      <c r="L58" s="305"/>
      <c r="M58" s="275"/>
      <c r="N58" s="275"/>
      <c r="O58" s="275"/>
      <c r="P58" s="275"/>
      <c r="Q58" s="275"/>
    </row>
    <row r="59" spans="1:234" s="32" customFormat="1" x14ac:dyDescent="0.25">
      <c r="A59" s="52" t="str">
        <f>IF(COUNTBLANK(B59)=1," ",COUNTA($B$12:B59))</f>
        <v xml:space="preserve"> </v>
      </c>
      <c r="B59" s="357"/>
      <c r="C59" s="736" t="s">
        <v>293</v>
      </c>
      <c r="D59" s="729" t="s">
        <v>32</v>
      </c>
      <c r="E59" s="236">
        <f>8*25</f>
        <v>200</v>
      </c>
      <c r="F59" s="145"/>
      <c r="G59" s="33"/>
      <c r="H59" s="33"/>
      <c r="I59" s="33"/>
      <c r="J59" s="33"/>
      <c r="K59" s="33"/>
      <c r="L59" s="305"/>
      <c r="M59" s="275"/>
      <c r="N59" s="275"/>
      <c r="O59" s="275"/>
      <c r="P59" s="275"/>
      <c r="Q59" s="275"/>
    </row>
    <row r="60" spans="1:234" s="32" customFormat="1" ht="22.5" x14ac:dyDescent="0.25">
      <c r="A60" s="52">
        <f>IF(COUNTBLANK(B60)=1," ",COUNTA($B$12:B60))</f>
        <v>19</v>
      </c>
      <c r="B60" s="288" t="s">
        <v>14</v>
      </c>
      <c r="C60" s="736" t="s">
        <v>294</v>
      </c>
      <c r="D60" s="729" t="s">
        <v>17</v>
      </c>
      <c r="E60" s="392">
        <v>9</v>
      </c>
      <c r="F60" s="136"/>
      <c r="G60" s="312"/>
      <c r="H60" s="271"/>
      <c r="I60" s="312"/>
      <c r="J60" s="60"/>
      <c r="K60" s="312"/>
      <c r="L60" s="305"/>
      <c r="M60" s="275"/>
      <c r="N60" s="275"/>
      <c r="O60" s="275"/>
      <c r="P60" s="275"/>
      <c r="Q60" s="275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2"/>
      <c r="CE60" s="262"/>
      <c r="CF60" s="262"/>
      <c r="CG60" s="262"/>
      <c r="CH60" s="262"/>
      <c r="CI60" s="262"/>
      <c r="CJ60" s="262"/>
      <c r="CK60" s="262"/>
      <c r="CL60" s="262"/>
      <c r="CM60" s="262"/>
      <c r="CN60" s="262"/>
      <c r="CO60" s="262"/>
      <c r="CP60" s="262"/>
      <c r="CQ60" s="262"/>
      <c r="CR60" s="262"/>
      <c r="CS60" s="262"/>
      <c r="CT60" s="262"/>
      <c r="CU60" s="262"/>
      <c r="CV60" s="262"/>
      <c r="CW60" s="262"/>
      <c r="CX60" s="262"/>
      <c r="CY60" s="262"/>
      <c r="CZ60" s="262"/>
      <c r="DA60" s="262"/>
      <c r="DB60" s="262"/>
      <c r="DC60" s="262"/>
      <c r="DD60" s="262"/>
      <c r="DE60" s="262"/>
      <c r="DF60" s="262"/>
      <c r="DG60" s="262"/>
      <c r="DH60" s="262"/>
      <c r="DI60" s="262"/>
      <c r="DJ60" s="262"/>
      <c r="DK60" s="262"/>
      <c r="DL60" s="262"/>
      <c r="DM60" s="262"/>
      <c r="DN60" s="262"/>
      <c r="DO60" s="262"/>
      <c r="DP60" s="262"/>
      <c r="DQ60" s="262"/>
      <c r="DR60" s="262"/>
      <c r="DS60" s="262"/>
      <c r="DT60" s="262"/>
      <c r="DU60" s="262"/>
      <c r="DV60" s="262"/>
      <c r="DW60" s="262"/>
      <c r="DX60" s="262"/>
      <c r="DY60" s="262"/>
      <c r="DZ60" s="262"/>
      <c r="EA60" s="262"/>
      <c r="EB60" s="262"/>
      <c r="EC60" s="262"/>
      <c r="ED60" s="262"/>
      <c r="EE60" s="262"/>
      <c r="EF60" s="262"/>
      <c r="EG60" s="262"/>
      <c r="EH60" s="262"/>
      <c r="EI60" s="262"/>
      <c r="EJ60" s="262"/>
      <c r="EK60" s="262"/>
      <c r="EL60" s="262"/>
      <c r="EM60" s="262"/>
      <c r="EN60" s="262"/>
      <c r="EO60" s="262"/>
      <c r="EP60" s="262"/>
      <c r="EQ60" s="262"/>
      <c r="ER60" s="262"/>
      <c r="ES60" s="262"/>
      <c r="ET60" s="262"/>
      <c r="EU60" s="262"/>
      <c r="EV60" s="262"/>
      <c r="EW60" s="262"/>
      <c r="EX60" s="262"/>
      <c r="EY60" s="262"/>
      <c r="EZ60" s="262"/>
      <c r="FA60" s="262"/>
      <c r="FB60" s="262"/>
      <c r="FC60" s="262"/>
      <c r="FD60" s="262"/>
      <c r="FE60" s="262"/>
      <c r="FF60" s="262"/>
      <c r="FG60" s="262"/>
      <c r="FH60" s="262"/>
      <c r="FI60" s="262"/>
      <c r="FJ60" s="262"/>
      <c r="FK60" s="262"/>
      <c r="FL60" s="262"/>
      <c r="FM60" s="262"/>
      <c r="FN60" s="262"/>
      <c r="FO60" s="262"/>
      <c r="FP60" s="262"/>
      <c r="FQ60" s="262"/>
      <c r="FR60" s="262"/>
      <c r="FS60" s="262"/>
      <c r="FT60" s="262"/>
      <c r="FU60" s="262"/>
      <c r="FV60" s="262"/>
      <c r="FW60" s="262"/>
      <c r="FX60" s="262"/>
      <c r="FY60" s="262"/>
      <c r="FZ60" s="262"/>
      <c r="GA60" s="262"/>
      <c r="GB60" s="262"/>
      <c r="GC60" s="262"/>
      <c r="GD60" s="262"/>
      <c r="GE60" s="262"/>
      <c r="GF60" s="262"/>
      <c r="GG60" s="262"/>
      <c r="GH60" s="262"/>
      <c r="GI60" s="262"/>
      <c r="GJ60" s="262"/>
      <c r="GK60" s="262"/>
      <c r="GL60" s="262"/>
      <c r="GM60" s="262"/>
      <c r="GN60" s="262"/>
      <c r="GO60" s="262"/>
      <c r="GP60" s="262"/>
      <c r="GQ60" s="262"/>
      <c r="GR60" s="262"/>
      <c r="GS60" s="262"/>
      <c r="GT60" s="262"/>
      <c r="GU60" s="262"/>
      <c r="GV60" s="262"/>
      <c r="GW60" s="262"/>
      <c r="GX60" s="262"/>
      <c r="GY60" s="262"/>
      <c r="GZ60" s="262"/>
      <c r="HA60" s="262"/>
      <c r="HB60" s="262"/>
      <c r="HC60" s="262"/>
      <c r="HD60" s="262"/>
      <c r="HE60" s="262"/>
      <c r="HF60" s="262"/>
      <c r="HG60" s="262"/>
      <c r="HH60" s="262"/>
      <c r="HI60" s="262"/>
      <c r="HJ60" s="262"/>
      <c r="HK60" s="262"/>
      <c r="HL60" s="262"/>
      <c r="HM60" s="262"/>
      <c r="HN60" s="262"/>
      <c r="HO60" s="262"/>
      <c r="HP60" s="262"/>
      <c r="HQ60" s="262"/>
      <c r="HR60" s="262"/>
      <c r="HS60" s="262"/>
      <c r="HT60" s="262"/>
      <c r="HU60" s="262"/>
      <c r="HV60" s="262"/>
      <c r="HW60" s="262"/>
      <c r="HX60" s="262"/>
      <c r="HY60" s="262"/>
      <c r="HZ60" s="262"/>
    </row>
    <row r="61" spans="1:234" s="32" customFormat="1" ht="22.5" x14ac:dyDescent="0.25">
      <c r="A61" s="52">
        <f>IF(COUNTBLANK(B61)=1," ",COUNTA($B$12:B61))</f>
        <v>20</v>
      </c>
      <c r="B61" s="288" t="s">
        <v>14</v>
      </c>
      <c r="C61" s="54" t="s">
        <v>881</v>
      </c>
      <c r="D61" s="743" t="s">
        <v>16</v>
      </c>
      <c r="E61" s="53">
        <f>1.5*25</f>
        <v>37.5</v>
      </c>
      <c r="F61" s="145"/>
      <c r="G61" s="136"/>
      <c r="H61" s="271"/>
      <c r="I61" s="436"/>
      <c r="J61" s="306"/>
      <c r="K61" s="136"/>
      <c r="L61" s="305"/>
      <c r="M61" s="275"/>
      <c r="N61" s="275"/>
      <c r="O61" s="275"/>
      <c r="P61" s="275"/>
      <c r="Q61" s="275"/>
    </row>
    <row r="62" spans="1:234" s="32" customFormat="1" ht="22.5" x14ac:dyDescent="0.25">
      <c r="A62" s="52">
        <f>IF(COUNTBLANK(B62)=1," ",COUNTA($B$12:B62))</f>
        <v>21</v>
      </c>
      <c r="B62" s="288" t="s">
        <v>14</v>
      </c>
      <c r="C62" s="54" t="s">
        <v>295</v>
      </c>
      <c r="D62" s="743" t="s">
        <v>17</v>
      </c>
      <c r="E62" s="53">
        <v>5</v>
      </c>
      <c r="F62" s="145"/>
      <c r="G62" s="136"/>
      <c r="H62" s="271"/>
      <c r="I62" s="436"/>
      <c r="J62" s="306"/>
      <c r="K62" s="136"/>
      <c r="L62" s="305"/>
      <c r="M62" s="275"/>
      <c r="N62" s="275"/>
      <c r="O62" s="275"/>
      <c r="P62" s="275"/>
      <c r="Q62" s="275"/>
    </row>
    <row r="63" spans="1:234" s="32" customFormat="1" ht="22.5" x14ac:dyDescent="0.25">
      <c r="A63" s="52" t="str">
        <f>IF(COUNTBLANK(B63)=1," ",COUNTA($B$12:B63))</f>
        <v xml:space="preserve"> </v>
      </c>
      <c r="B63" s="357"/>
      <c r="C63" s="679" t="s">
        <v>296</v>
      </c>
      <c r="D63" s="743"/>
      <c r="E63" s="53"/>
      <c r="F63" s="145"/>
      <c r="G63" s="33"/>
      <c r="H63" s="33"/>
      <c r="I63" s="33"/>
      <c r="J63" s="33"/>
      <c r="K63" s="33"/>
      <c r="L63" s="305"/>
      <c r="M63" s="275"/>
      <c r="N63" s="275"/>
      <c r="O63" s="275"/>
      <c r="P63" s="275"/>
      <c r="Q63" s="275"/>
    </row>
    <row r="64" spans="1:234" s="32" customFormat="1" ht="22.5" x14ac:dyDescent="0.25">
      <c r="A64" s="52">
        <f>IF(COUNTBLANK(B64)=1," ",COUNTA($B$12:B64))</f>
        <v>22</v>
      </c>
      <c r="B64" s="288" t="s">
        <v>14</v>
      </c>
      <c r="C64" s="54" t="s">
        <v>297</v>
      </c>
      <c r="D64" s="743" t="s">
        <v>16</v>
      </c>
      <c r="E64" s="53">
        <v>8</v>
      </c>
      <c r="F64" s="145"/>
      <c r="G64" s="136"/>
      <c r="H64" s="271"/>
      <c r="I64" s="436"/>
      <c r="J64" s="306"/>
      <c r="K64" s="136"/>
      <c r="L64" s="305"/>
      <c r="M64" s="275"/>
      <c r="N64" s="275"/>
      <c r="O64" s="275"/>
      <c r="P64" s="275"/>
      <c r="Q64" s="275"/>
    </row>
    <row r="65" spans="1:234" s="32" customFormat="1" ht="22.5" x14ac:dyDescent="0.25">
      <c r="A65" s="52">
        <f>IF(COUNTBLANK(B65)=1," ",COUNTA($B$12:B65))</f>
        <v>23</v>
      </c>
      <c r="B65" s="288" t="s">
        <v>14</v>
      </c>
      <c r="C65" s="54" t="s">
        <v>298</v>
      </c>
      <c r="D65" s="743" t="s">
        <v>23</v>
      </c>
      <c r="E65" s="53">
        <f>0.01*0.15*0.15*20*7800</f>
        <v>35.099999999999994</v>
      </c>
      <c r="F65" s="145"/>
      <c r="G65" s="136"/>
      <c r="H65" s="271"/>
      <c r="I65" s="436"/>
      <c r="J65" s="306"/>
      <c r="K65" s="136"/>
      <c r="L65" s="305"/>
      <c r="M65" s="275"/>
      <c r="N65" s="275"/>
      <c r="O65" s="275"/>
      <c r="P65" s="275"/>
      <c r="Q65" s="275"/>
    </row>
    <row r="66" spans="1:234" s="32" customFormat="1" x14ac:dyDescent="0.25">
      <c r="A66" s="52" t="str">
        <f>IF(COUNTBLANK(B66)=1," ",COUNTA($B$12:B66))</f>
        <v xml:space="preserve"> </v>
      </c>
      <c r="B66" s="357"/>
      <c r="C66" s="54" t="s">
        <v>299</v>
      </c>
      <c r="D66" s="743" t="s">
        <v>32</v>
      </c>
      <c r="E66" s="377">
        <f>4*20</f>
        <v>80</v>
      </c>
      <c r="F66" s="145"/>
      <c r="G66" s="33"/>
      <c r="H66" s="33"/>
      <c r="I66" s="33"/>
      <c r="J66" s="33"/>
      <c r="K66" s="33"/>
      <c r="L66" s="305"/>
      <c r="M66" s="275"/>
      <c r="N66" s="275"/>
      <c r="O66" s="275"/>
      <c r="P66" s="275"/>
      <c r="Q66" s="275"/>
    </row>
    <row r="67" spans="1:234" s="32" customFormat="1" ht="22.5" x14ac:dyDescent="0.25">
      <c r="A67" s="52">
        <f>IF(COUNTBLANK(B67)=1," ",COUNTA($B$12:B67))</f>
        <v>24</v>
      </c>
      <c r="B67" s="288" t="s">
        <v>14</v>
      </c>
      <c r="C67" s="54" t="s">
        <v>300</v>
      </c>
      <c r="D67" s="743" t="s">
        <v>23</v>
      </c>
      <c r="E67" s="53">
        <f>2.466*14</f>
        <v>34.524000000000001</v>
      </c>
      <c r="F67" s="145"/>
      <c r="G67" s="136"/>
      <c r="H67" s="271"/>
      <c r="I67" s="436"/>
      <c r="J67" s="306"/>
      <c r="K67" s="136"/>
      <c r="L67" s="305"/>
      <c r="M67" s="275"/>
      <c r="N67" s="275"/>
      <c r="O67" s="275"/>
      <c r="P67" s="275"/>
      <c r="Q67" s="275"/>
    </row>
    <row r="68" spans="1:234" s="32" customFormat="1" ht="22.5" x14ac:dyDescent="0.25">
      <c r="A68" s="52">
        <f>IF(COUNTBLANK(B68)=1," ",COUNTA($B$12:B68))</f>
        <v>25</v>
      </c>
      <c r="B68" s="288" t="s">
        <v>14</v>
      </c>
      <c r="C68" s="54" t="s">
        <v>294</v>
      </c>
      <c r="D68" s="743" t="s">
        <v>17</v>
      </c>
      <c r="E68" s="53">
        <v>1.5</v>
      </c>
      <c r="F68" s="145"/>
      <c r="G68" s="312"/>
      <c r="H68" s="271"/>
      <c r="I68" s="312"/>
      <c r="J68" s="312"/>
      <c r="K68" s="312"/>
      <c r="L68" s="305"/>
      <c r="M68" s="275"/>
      <c r="N68" s="275"/>
      <c r="O68" s="275"/>
      <c r="P68" s="275"/>
      <c r="Q68" s="275"/>
    </row>
    <row r="69" spans="1:234" s="32" customFormat="1" ht="15" x14ac:dyDescent="0.25">
      <c r="A69" s="52" t="str">
        <f>IF(COUNTBLANK(B69)=1," ",COUNTA($B$12:B69))</f>
        <v xml:space="preserve"> </v>
      </c>
      <c r="B69" s="729"/>
      <c r="C69" s="736" t="s">
        <v>882</v>
      </c>
      <c r="D69" s="729" t="s">
        <v>23</v>
      </c>
      <c r="E69" s="10">
        <f>ROUNDUP(E68*F69,2)</f>
        <v>0.6</v>
      </c>
      <c r="F69" s="136">
        <v>0.4</v>
      </c>
      <c r="G69" s="312"/>
      <c r="H69" s="312"/>
      <c r="I69" s="312"/>
      <c r="J69" s="312"/>
      <c r="K69" s="312"/>
      <c r="L69" s="305"/>
      <c r="M69" s="275"/>
      <c r="N69" s="275"/>
      <c r="O69" s="275"/>
      <c r="P69" s="275"/>
      <c r="Q69" s="275"/>
      <c r="R69" s="262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2"/>
      <c r="AK69" s="262"/>
      <c r="AL69" s="262"/>
      <c r="AM69" s="262"/>
      <c r="AN69" s="262"/>
      <c r="AO69" s="262"/>
      <c r="AP69" s="262"/>
      <c r="AQ69" s="262"/>
      <c r="AR69" s="262"/>
      <c r="AS69" s="262"/>
      <c r="AT69" s="262"/>
      <c r="AU69" s="262"/>
      <c r="AV69" s="262"/>
      <c r="AW69" s="262"/>
      <c r="AX69" s="262"/>
      <c r="AY69" s="262"/>
      <c r="AZ69" s="262"/>
      <c r="BA69" s="262"/>
      <c r="BB69" s="262"/>
      <c r="BC69" s="262"/>
      <c r="BD69" s="262"/>
      <c r="BE69" s="262"/>
      <c r="BF69" s="262"/>
      <c r="BG69" s="262"/>
      <c r="BH69" s="262"/>
      <c r="BI69" s="262"/>
      <c r="BJ69" s="262"/>
      <c r="BK69" s="262"/>
      <c r="BL69" s="262"/>
      <c r="BM69" s="262"/>
      <c r="BN69" s="262"/>
      <c r="BO69" s="262"/>
      <c r="BP69" s="262"/>
      <c r="BQ69" s="262"/>
      <c r="BR69" s="262"/>
      <c r="BS69" s="262"/>
      <c r="BT69" s="262"/>
      <c r="BU69" s="262"/>
      <c r="BV69" s="262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262"/>
      <c r="CH69" s="262"/>
      <c r="CI69" s="262"/>
      <c r="CJ69" s="262"/>
      <c r="CK69" s="262"/>
      <c r="CL69" s="262"/>
      <c r="CM69" s="262"/>
      <c r="CN69" s="262"/>
      <c r="CO69" s="262"/>
      <c r="CP69" s="262"/>
      <c r="CQ69" s="262"/>
      <c r="CR69" s="262"/>
      <c r="CS69" s="262"/>
      <c r="CT69" s="262"/>
      <c r="CU69" s="262"/>
      <c r="CV69" s="262"/>
      <c r="CW69" s="262"/>
      <c r="CX69" s="262"/>
      <c r="CY69" s="262"/>
      <c r="CZ69" s="262"/>
      <c r="DA69" s="262"/>
      <c r="DB69" s="262"/>
      <c r="DC69" s="262"/>
      <c r="DD69" s="262"/>
      <c r="DE69" s="262"/>
      <c r="DF69" s="262"/>
      <c r="DG69" s="262"/>
      <c r="DH69" s="262"/>
      <c r="DI69" s="262"/>
      <c r="DJ69" s="262"/>
      <c r="DK69" s="262"/>
      <c r="DL69" s="262"/>
      <c r="DM69" s="262"/>
      <c r="DN69" s="262"/>
      <c r="DO69" s="262"/>
      <c r="DP69" s="262"/>
      <c r="DQ69" s="262"/>
      <c r="DR69" s="262"/>
      <c r="DS69" s="262"/>
      <c r="DT69" s="262"/>
      <c r="DU69" s="262"/>
      <c r="DV69" s="262"/>
      <c r="DW69" s="262"/>
      <c r="DX69" s="262"/>
      <c r="DY69" s="262"/>
      <c r="DZ69" s="262"/>
      <c r="EA69" s="262"/>
      <c r="EB69" s="262"/>
      <c r="EC69" s="262"/>
      <c r="ED69" s="262"/>
      <c r="EE69" s="262"/>
      <c r="EF69" s="262"/>
      <c r="EG69" s="262"/>
      <c r="EH69" s="262"/>
      <c r="EI69" s="262"/>
      <c r="EJ69" s="262"/>
      <c r="EK69" s="262"/>
      <c r="EL69" s="262"/>
      <c r="EM69" s="262"/>
      <c r="EN69" s="262"/>
      <c r="EO69" s="262"/>
      <c r="EP69" s="262"/>
      <c r="EQ69" s="262"/>
      <c r="ER69" s="262"/>
      <c r="ES69" s="262"/>
      <c r="ET69" s="262"/>
      <c r="EU69" s="262"/>
      <c r="EV69" s="262"/>
      <c r="EW69" s="262"/>
      <c r="EX69" s="262"/>
      <c r="EY69" s="262"/>
      <c r="EZ69" s="262"/>
      <c r="FA69" s="262"/>
      <c r="FB69" s="262"/>
      <c r="FC69" s="262"/>
      <c r="FD69" s="262"/>
      <c r="FE69" s="262"/>
      <c r="FF69" s="262"/>
      <c r="FG69" s="262"/>
      <c r="FH69" s="262"/>
      <c r="FI69" s="262"/>
      <c r="FJ69" s="262"/>
      <c r="FK69" s="262"/>
      <c r="FL69" s="262"/>
      <c r="FM69" s="262"/>
      <c r="FN69" s="262"/>
      <c r="FO69" s="262"/>
      <c r="FP69" s="262"/>
      <c r="FQ69" s="262"/>
      <c r="FR69" s="262"/>
      <c r="FS69" s="262"/>
      <c r="FT69" s="262"/>
      <c r="FU69" s="262"/>
      <c r="FV69" s="262"/>
      <c r="FW69" s="262"/>
      <c r="FX69" s="262"/>
      <c r="FY69" s="262"/>
      <c r="FZ69" s="262"/>
      <c r="GA69" s="262"/>
      <c r="GB69" s="262"/>
      <c r="GC69" s="262"/>
      <c r="GD69" s="262"/>
      <c r="GE69" s="262"/>
      <c r="GF69" s="262"/>
      <c r="GG69" s="262"/>
      <c r="GH69" s="262"/>
      <c r="GI69" s="262"/>
      <c r="GJ69" s="262"/>
      <c r="GK69" s="262"/>
      <c r="GL69" s="262"/>
      <c r="GM69" s="262"/>
      <c r="GN69" s="262"/>
      <c r="GO69" s="262"/>
      <c r="GP69" s="262"/>
      <c r="GQ69" s="262"/>
      <c r="GR69" s="262"/>
      <c r="GS69" s="262"/>
      <c r="GT69" s="262"/>
      <c r="GU69" s="262"/>
      <c r="GV69" s="262"/>
      <c r="GW69" s="262"/>
      <c r="GX69" s="262"/>
      <c r="GY69" s="262"/>
      <c r="GZ69" s="262"/>
      <c r="HA69" s="262"/>
      <c r="HB69" s="262"/>
      <c r="HC69" s="262"/>
      <c r="HD69" s="262"/>
      <c r="HE69" s="262"/>
      <c r="HF69" s="262"/>
      <c r="HG69" s="262"/>
      <c r="HH69" s="262"/>
      <c r="HI69" s="262"/>
      <c r="HJ69" s="262"/>
      <c r="HK69" s="262"/>
      <c r="HL69" s="262"/>
      <c r="HM69" s="262"/>
      <c r="HN69" s="262"/>
      <c r="HO69" s="262"/>
      <c r="HP69" s="262"/>
      <c r="HQ69" s="262"/>
      <c r="HR69" s="262"/>
      <c r="HS69" s="262"/>
      <c r="HT69" s="262"/>
      <c r="HU69" s="262"/>
      <c r="HV69" s="262"/>
      <c r="HW69" s="262"/>
      <c r="HX69" s="262"/>
      <c r="HY69" s="262"/>
      <c r="HZ69" s="262"/>
    </row>
    <row r="70" spans="1:234" s="32" customFormat="1" ht="22.5" x14ac:dyDescent="0.25">
      <c r="A70" s="52">
        <f>IF(COUNTBLANK(B70)=1," ",COUNTA($B$12:B70))</f>
        <v>26</v>
      </c>
      <c r="B70" s="288" t="s">
        <v>14</v>
      </c>
      <c r="C70" s="54" t="s">
        <v>301</v>
      </c>
      <c r="D70" s="743" t="s">
        <v>17</v>
      </c>
      <c r="E70" s="53">
        <v>8</v>
      </c>
      <c r="F70" s="145"/>
      <c r="G70" s="136"/>
      <c r="H70" s="271"/>
      <c r="I70" s="436"/>
      <c r="J70" s="306"/>
      <c r="K70" s="136"/>
      <c r="L70" s="305"/>
      <c r="M70" s="275"/>
      <c r="N70" s="275"/>
      <c r="O70" s="275"/>
      <c r="P70" s="275"/>
      <c r="Q70" s="275"/>
    </row>
    <row r="71" spans="1:234" s="32" customFormat="1" x14ac:dyDescent="0.25">
      <c r="A71" s="52" t="str">
        <f>IF(COUNTBLANK(B71)=1," ",COUNTA($B$12:B71))</f>
        <v xml:space="preserve"> </v>
      </c>
      <c r="B71" s="357"/>
      <c r="C71" s="54" t="s">
        <v>229</v>
      </c>
      <c r="D71" s="729" t="s">
        <v>289</v>
      </c>
      <c r="E71" s="10">
        <f>ROUNDUP(E70*F71,2)</f>
        <v>0.4</v>
      </c>
      <c r="F71" s="136">
        <v>0.05</v>
      </c>
      <c r="G71" s="33"/>
      <c r="H71" s="33"/>
      <c r="I71" s="33"/>
      <c r="J71" s="33"/>
      <c r="K71" s="33"/>
      <c r="L71" s="305"/>
      <c r="M71" s="275"/>
      <c r="N71" s="275"/>
      <c r="O71" s="275"/>
      <c r="P71" s="275"/>
      <c r="Q71" s="275"/>
    </row>
    <row r="72" spans="1:234" s="32" customFormat="1" ht="22.5" x14ac:dyDescent="0.25">
      <c r="A72" s="135" t="str">
        <f>IF(COUNTBLANK(I72)=1," ",COUNTA($I$13:I72))</f>
        <v xml:space="preserve"> </v>
      </c>
      <c r="B72" s="357"/>
      <c r="C72" s="54" t="s">
        <v>302</v>
      </c>
      <c r="D72" s="743"/>
      <c r="E72" s="53"/>
      <c r="F72" s="145"/>
      <c r="G72" s="33"/>
      <c r="H72" s="33"/>
      <c r="I72" s="33"/>
      <c r="J72" s="33"/>
      <c r="K72" s="33"/>
      <c r="L72" s="305"/>
      <c r="M72" s="275"/>
      <c r="N72" s="275"/>
      <c r="O72" s="275"/>
      <c r="P72" s="275"/>
      <c r="Q72" s="275"/>
    </row>
    <row r="73" spans="1:234" s="32" customFormat="1" x14ac:dyDescent="0.25">
      <c r="A73" s="415"/>
      <c r="B73" s="388"/>
      <c r="C73" s="389"/>
      <c r="D73" s="388"/>
      <c r="E73" s="388"/>
      <c r="F73" s="390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</row>
    <row r="74" spans="1:234" s="56" customFormat="1" x14ac:dyDescent="0.25">
      <c r="A74" s="413" t="str">
        <f>IF(COUNTBLANK(I74)=1," ",COUNTA($I$74:I74))</f>
        <v xml:space="preserve"> </v>
      </c>
      <c r="B74" s="37"/>
      <c r="C74" s="217" t="s">
        <v>179</v>
      </c>
      <c r="D74" s="23"/>
      <c r="E74" s="162"/>
      <c r="F74" s="162"/>
      <c r="G74" s="17"/>
      <c r="H74" s="162"/>
      <c r="I74" s="17"/>
      <c r="J74" s="17"/>
      <c r="K74" s="17"/>
      <c r="L74" s="17"/>
      <c r="M74" s="20">
        <f>SUM(M13:M72)</f>
        <v>0</v>
      </c>
      <c r="N74" s="20">
        <f>SUM(N13:N72)</f>
        <v>0</v>
      </c>
      <c r="O74" s="20">
        <f>SUM(O13:O72)</f>
        <v>0</v>
      </c>
      <c r="P74" s="20">
        <f>SUM(P13:P72)</f>
        <v>0</v>
      </c>
      <c r="Q74" s="20">
        <f>SUM(Q13:Q72)</f>
        <v>0</v>
      </c>
    </row>
    <row r="75" spans="1:234" s="39" customFormat="1" x14ac:dyDescent="0.25">
      <c r="A75" s="413" t="str">
        <f>IF(COUNTBLANK(I75)=1," ",COUNTA($I$74:I75))</f>
        <v xml:space="preserve"> </v>
      </c>
      <c r="D75" s="94"/>
      <c r="E75" s="94"/>
      <c r="F75" s="94"/>
      <c r="G75" s="45"/>
      <c r="H75" s="100"/>
      <c r="I75" s="100"/>
      <c r="J75" s="100"/>
      <c r="K75" s="100"/>
      <c r="L75" s="100"/>
      <c r="M75" s="100"/>
      <c r="N75" s="100"/>
      <c r="O75" s="100"/>
      <c r="P75" s="100"/>
      <c r="Q75" s="100"/>
    </row>
    <row r="76" spans="1:234" s="45" customFormat="1" x14ac:dyDescent="0.25">
      <c r="A76" s="413" t="str">
        <f>IF(COUNTBLANK(I76)=1," ",COUNTA($I$74:I76))</f>
        <v xml:space="preserve"> </v>
      </c>
      <c r="B76" s="140" t="str">
        <f>sas</f>
        <v>Sastādīja:</v>
      </c>
      <c r="C76" s="140"/>
      <c r="D76" s="140"/>
      <c r="E76" s="140"/>
      <c r="F76" s="94"/>
      <c r="H76" s="100"/>
      <c r="I76" s="100"/>
      <c r="J76" s="100"/>
      <c r="K76" s="100"/>
      <c r="L76" s="100"/>
      <c r="M76" s="100"/>
      <c r="N76" s="100"/>
      <c r="O76" s="100"/>
      <c r="P76" s="100"/>
      <c r="Q76" s="100"/>
    </row>
    <row r="77" spans="1:234" s="45" customFormat="1" x14ac:dyDescent="0.25">
      <c r="A77" s="413" t="str">
        <f>IF(COUNTBLANK(I77)=1," ",COUNTA($I$74:I77))</f>
        <v xml:space="preserve"> </v>
      </c>
      <c r="B77" s="140"/>
      <c r="C77" s="358" t="s">
        <v>145</v>
      </c>
      <c r="D77" s="140"/>
      <c r="E77" s="140"/>
      <c r="F77" s="94"/>
      <c r="H77" s="100"/>
      <c r="I77" s="100"/>
      <c r="J77" s="100"/>
      <c r="K77" s="100"/>
      <c r="L77" s="100"/>
      <c r="M77" s="100"/>
      <c r="N77" s="100"/>
      <c r="O77" s="100"/>
      <c r="P77" s="100"/>
      <c r="Q77" s="100"/>
    </row>
    <row r="78" spans="1:234" x14ac:dyDescent="0.25">
      <c r="A78" s="413" t="str">
        <f>IF(COUNTBLANK(I78)=1," ",COUNTA($I$74:I78))</f>
        <v xml:space="preserve"> </v>
      </c>
      <c r="B78" s="161"/>
      <c r="C78" s="161"/>
      <c r="D78" s="140"/>
      <c r="E78" s="140"/>
      <c r="F78" s="94"/>
    </row>
    <row r="79" spans="1:234" x14ac:dyDescent="0.25">
      <c r="A79" s="413" t="str">
        <f>IF(COUNTBLANK(I79)=1," ",COUNTA($I$74:I79))</f>
        <v xml:space="preserve"> </v>
      </c>
      <c r="B79" s="140" t="str">
        <f>dat</f>
        <v>Tāme sastādīta 201__. gada __.____________</v>
      </c>
      <c r="C79" s="140"/>
      <c r="D79" s="140"/>
      <c r="E79" s="140"/>
      <c r="F79" s="94"/>
    </row>
    <row r="80" spans="1:234" x14ac:dyDescent="0.25">
      <c r="A80" s="413" t="str">
        <f>IF(COUNTBLANK(I80)=1," ",COUNTA($I$74:I80))</f>
        <v xml:space="preserve"> </v>
      </c>
      <c r="B80" s="161"/>
      <c r="C80" s="161"/>
      <c r="F80" s="45"/>
    </row>
    <row r="81" spans="1:6" x14ac:dyDescent="0.25">
      <c r="A81" s="413" t="str">
        <f>IF(COUNTBLANK(I81)=1," ",COUNTA($I$74:I81))</f>
        <v xml:space="preserve"> </v>
      </c>
      <c r="B81" s="140" t="s">
        <v>147</v>
      </c>
      <c r="C81" s="140"/>
      <c r="F81" s="45"/>
    </row>
    <row r="82" spans="1:6" x14ac:dyDescent="0.25">
      <c r="A82" s="413" t="str">
        <f>IF(COUNTBLANK(I82)=1," ",COUNTA($I$74:I82))</f>
        <v xml:space="preserve"> </v>
      </c>
      <c r="B82" s="140"/>
      <c r="C82" s="358" t="s">
        <v>145</v>
      </c>
      <c r="F82" s="45"/>
    </row>
    <row r="83" spans="1:6" x14ac:dyDescent="0.25">
      <c r="A83" s="413" t="str">
        <f>IF(COUNTBLANK(I83)=1," ",COUNTA($I$74:I83))</f>
        <v xml:space="preserve"> </v>
      </c>
      <c r="B83" s="161"/>
      <c r="C83" s="140" t="s">
        <v>148</v>
      </c>
    </row>
    <row r="84" spans="1:6" x14ac:dyDescent="0.25">
      <c r="A84" s="413" t="str">
        <f>IF(COUNTBLANK(I84)=1," ",COUNTA($I$74:I84))</f>
        <v xml:space="preserve"> </v>
      </c>
    </row>
    <row r="85" spans="1:6" x14ac:dyDescent="0.25">
      <c r="A85" s="413" t="str">
        <f>IF(COUNTBLANK(I85)=1," ",COUNTA($I$74:I85))</f>
        <v xml:space="preserve"> </v>
      </c>
    </row>
    <row r="86" spans="1:6" x14ac:dyDescent="0.25">
      <c r="A86" s="413" t="str">
        <f>IF(COUNTBLANK(I86)=1," ",COUNTA($I$74:I86))</f>
        <v xml:space="preserve"> </v>
      </c>
    </row>
    <row r="87" spans="1:6" x14ac:dyDescent="0.25">
      <c r="A87" s="413" t="str">
        <f>IF(COUNTBLANK(I99)=1," ",COUNTA($I$74:I99))</f>
        <v xml:space="preserve"> </v>
      </c>
    </row>
    <row r="88" spans="1:6" x14ac:dyDescent="0.25">
      <c r="A88" s="413" t="str">
        <f>IF(COUNTBLANK(I100)=1," ",COUNTA($I$74:I100))</f>
        <v xml:space="preserve"> </v>
      </c>
    </row>
    <row r="89" spans="1:6" x14ac:dyDescent="0.25">
      <c r="A89" s="413" t="str">
        <f>IF(COUNTBLANK(I101)=1," ",COUNTA($I$74:I101))</f>
        <v xml:space="preserve"> </v>
      </c>
    </row>
    <row r="90" spans="1:6" x14ac:dyDescent="0.25">
      <c r="A90" s="413" t="str">
        <f>IF(COUNTBLANK(I102)=1," ",COUNTA($I$74:I102))</f>
        <v xml:space="preserve"> </v>
      </c>
    </row>
    <row r="91" spans="1:6" x14ac:dyDescent="0.25">
      <c r="A91" s="413" t="str">
        <f>IF(COUNTBLANK(I103)=1," ",COUNTA($I$74:I103))</f>
        <v xml:space="preserve"> </v>
      </c>
    </row>
    <row r="92" spans="1:6" x14ac:dyDescent="0.25">
      <c r="A92" s="413" t="str">
        <f>IF(COUNTBLANK(I104)=1," ",COUNTA($I$74:I104))</f>
        <v xml:space="preserve"> </v>
      </c>
    </row>
    <row r="93" spans="1:6" x14ac:dyDescent="0.25">
      <c r="A93" s="413" t="str">
        <f>IF(COUNTBLANK(I105)=1," ",COUNTA($I$74:I105))</f>
        <v xml:space="preserve"> </v>
      </c>
    </row>
    <row r="94" spans="1:6" x14ac:dyDescent="0.25">
      <c r="A94" s="413" t="str">
        <f>IF(COUNTBLANK(I106)=1," ",COUNTA($I$74:I106))</f>
        <v xml:space="preserve"> </v>
      </c>
    </row>
    <row r="95" spans="1:6" x14ac:dyDescent="0.25">
      <c r="A95" s="413" t="str">
        <f>IF(COUNTBLANK(I107)=1," ",COUNTA($I$74:I107))</f>
        <v xml:space="preserve"> </v>
      </c>
    </row>
    <row r="96" spans="1:6" x14ac:dyDescent="0.25">
      <c r="A96" s="413" t="str">
        <f>IF(COUNTBLANK(I108)=1," ",COUNTA($I$74:I108))</f>
        <v xml:space="preserve"> </v>
      </c>
    </row>
    <row r="97" spans="1:1" x14ac:dyDescent="0.25">
      <c r="A97" s="413" t="str">
        <f>IF(COUNTBLANK(I109)=1," ",COUNTA($I$74:I109))</f>
        <v xml:space="preserve"> </v>
      </c>
    </row>
    <row r="98" spans="1:1" x14ac:dyDescent="0.25">
      <c r="A98" s="413" t="str">
        <f>IF(COUNTBLANK(I110)=1," ",COUNTA($I$74:I110))</f>
        <v xml:space="preserve"> </v>
      </c>
    </row>
    <row r="99" spans="1:1" x14ac:dyDescent="0.25">
      <c r="A99" s="413" t="str">
        <f>IF(COUNTBLANK(I111)=1," ",COUNTA($I$74:I111))</f>
        <v xml:space="preserve"> </v>
      </c>
    </row>
    <row r="100" spans="1:1" x14ac:dyDescent="0.25">
      <c r="A100" s="413" t="str">
        <f>IF(COUNTBLANK(I112)=1," ",COUNTA($I$74:I112))</f>
        <v xml:space="preserve"> </v>
      </c>
    </row>
    <row r="101" spans="1:1" x14ac:dyDescent="0.25">
      <c r="A101" s="413" t="str">
        <f>IF(COUNTBLANK(I113)=1," ",COUNTA($I$74:I113))</f>
        <v xml:space="preserve"> </v>
      </c>
    </row>
    <row r="102" spans="1:1" x14ac:dyDescent="0.25">
      <c r="A102" s="413" t="str">
        <f>IF(COUNTBLANK(I114)=1," ",COUNTA($I$74:I114))</f>
        <v xml:space="preserve"> </v>
      </c>
    </row>
    <row r="103" spans="1:1" x14ac:dyDescent="0.25">
      <c r="A103" s="413" t="str">
        <f>IF(COUNTBLANK(I115)=1," ",COUNTA($I$74:I115))</f>
        <v xml:space="preserve"> </v>
      </c>
    </row>
    <row r="104" spans="1:1" x14ac:dyDescent="0.25">
      <c r="A104" s="413" t="str">
        <f>IF(COUNTBLANK(I116)=1," ",COUNTA($I$74:I116))</f>
        <v xml:space="preserve"> </v>
      </c>
    </row>
    <row r="105" spans="1:1" x14ac:dyDescent="0.25">
      <c r="A105" s="413" t="str">
        <f>IF(COUNTBLANK(I117)=1," ",COUNTA($I$74:I117))</f>
        <v xml:space="preserve"> </v>
      </c>
    </row>
    <row r="106" spans="1:1" x14ac:dyDescent="0.25">
      <c r="A106" s="413" t="str">
        <f>IF(COUNTBLANK(I118)=1," ",COUNTA($I$74:I118))</f>
        <v xml:space="preserve"> </v>
      </c>
    </row>
    <row r="107" spans="1:1" x14ac:dyDescent="0.25">
      <c r="A107" s="413" t="str">
        <f>IF(COUNTBLANK(I119)=1," ",COUNTA($I$74:I119))</f>
        <v xml:space="preserve"> </v>
      </c>
    </row>
    <row r="108" spans="1:1" x14ac:dyDescent="0.25">
      <c r="A108" s="413" t="str">
        <f>IF(COUNTBLANK(I120)=1," ",COUNTA($I$74:I120))</f>
        <v xml:space="preserve"> </v>
      </c>
    </row>
    <row r="109" spans="1:1" x14ac:dyDescent="0.25">
      <c r="A109" s="413" t="str">
        <f>IF(COUNTBLANK(I121)=1," ",COUNTA($I$74:I121))</f>
        <v xml:space="preserve"> </v>
      </c>
    </row>
    <row r="110" spans="1:1" x14ac:dyDescent="0.25">
      <c r="A110" s="413" t="str">
        <f>IF(COUNTBLANK(I122)=1," ",COUNTA($I$74:I122))</f>
        <v xml:space="preserve"> </v>
      </c>
    </row>
    <row r="111" spans="1:1" x14ac:dyDescent="0.25">
      <c r="A111" s="413" t="str">
        <f>IF(COUNTBLANK(I123)=1," ",COUNTA($I$74:I123))</f>
        <v xml:space="preserve"> </v>
      </c>
    </row>
    <row r="112" spans="1:1" x14ac:dyDescent="0.25">
      <c r="A112" s="413" t="str">
        <f>IF(COUNTBLANK(I124)=1," ",COUNTA($I$74:I124))</f>
        <v xml:space="preserve"> </v>
      </c>
    </row>
    <row r="113" spans="1:1" x14ac:dyDescent="0.25">
      <c r="A113" s="413" t="str">
        <f>IF(COUNTBLANK(I125)=1," ",COUNTA($I$74:I125))</f>
        <v xml:space="preserve"> </v>
      </c>
    </row>
    <row r="114" spans="1:1" x14ac:dyDescent="0.25">
      <c r="A114" s="413" t="str">
        <f>IF(COUNTBLANK(I126)=1," ",COUNTA($I$74:I126))</f>
        <v xml:space="preserve"> </v>
      </c>
    </row>
    <row r="115" spans="1:1" x14ac:dyDescent="0.25">
      <c r="A115" s="413" t="str">
        <f>IF(COUNTBLANK(I127)=1," ",COUNTA($I$74:I127))</f>
        <v xml:space="preserve"> </v>
      </c>
    </row>
    <row r="116" spans="1:1" x14ac:dyDescent="0.25">
      <c r="A116" s="413" t="str">
        <f>IF(COUNTBLANK(I128)=1," ",COUNTA($I$74:I128))</f>
        <v xml:space="preserve"> </v>
      </c>
    </row>
    <row r="117" spans="1:1" x14ac:dyDescent="0.25">
      <c r="A117" s="413" t="str">
        <f>IF(COUNTBLANK(I129)=1," ",COUNTA($I$74:I129))</f>
        <v xml:space="preserve"> </v>
      </c>
    </row>
    <row r="118" spans="1:1" x14ac:dyDescent="0.25">
      <c r="A118" s="413" t="str">
        <f>IF(COUNTBLANK(I130)=1," ",COUNTA($I$74:I130))</f>
        <v xml:space="preserve"> </v>
      </c>
    </row>
    <row r="119" spans="1:1" x14ac:dyDescent="0.25">
      <c r="A119" s="413" t="str">
        <f>IF(COUNTBLANK(I131)=1," ",COUNTA($I$74:I131))</f>
        <v xml:space="preserve"> </v>
      </c>
    </row>
    <row r="120" spans="1:1" x14ac:dyDescent="0.25">
      <c r="A120" s="413" t="str">
        <f>IF(COUNTBLANK(I132)=1," ",COUNTA($I$74:I132))</f>
        <v xml:space="preserve"> </v>
      </c>
    </row>
    <row r="121" spans="1:1" x14ac:dyDescent="0.25">
      <c r="A121" s="413" t="str">
        <f>IF(COUNTBLANK(I133)=1," ",COUNTA($I$74:I133))</f>
        <v xml:space="preserve"> </v>
      </c>
    </row>
    <row r="122" spans="1:1" x14ac:dyDescent="0.25">
      <c r="A122" s="413" t="str">
        <f>IF(COUNTBLANK(I134)=1," ",COUNTA($I$74:I134))</f>
        <v xml:space="preserve"> </v>
      </c>
    </row>
    <row r="123" spans="1:1" x14ac:dyDescent="0.25">
      <c r="A123" s="413" t="str">
        <f>IF(COUNTBLANK(I135)=1," ",COUNTA($I$74:I135))</f>
        <v xml:space="preserve"> </v>
      </c>
    </row>
    <row r="124" spans="1:1" x14ac:dyDescent="0.25">
      <c r="A124" s="413" t="str">
        <f>IF(COUNTBLANK(I136)=1," ",COUNTA($I$74:I136))</f>
        <v xml:space="preserve"> </v>
      </c>
    </row>
    <row r="125" spans="1:1" x14ac:dyDescent="0.25">
      <c r="A125" s="413" t="str">
        <f>IF(COUNTBLANK(I137)=1," ",COUNTA($I$74:I137))</f>
        <v xml:space="preserve"> </v>
      </c>
    </row>
    <row r="126" spans="1:1" x14ac:dyDescent="0.25">
      <c r="A126" s="413" t="str">
        <f>IF(COUNTBLANK(I138)=1," ",COUNTA($I$74:I138))</f>
        <v xml:space="preserve"> </v>
      </c>
    </row>
    <row r="127" spans="1:1" x14ac:dyDescent="0.25">
      <c r="A127" s="413" t="str">
        <f>IF(COUNTBLANK(I139)=1," ",COUNTA($I$74:I139))</f>
        <v xml:space="preserve"> </v>
      </c>
    </row>
    <row r="128" spans="1:1" x14ac:dyDescent="0.25">
      <c r="A128" s="413" t="str">
        <f>IF(COUNTBLANK(I140)=1," ",COUNTA($I$74:I140))</f>
        <v xml:space="preserve"> </v>
      </c>
    </row>
    <row r="129" spans="1:1" x14ac:dyDescent="0.25">
      <c r="A129" s="413" t="str">
        <f>IF(COUNTBLANK(I141)=1," ",COUNTA($I$74:I141))</f>
        <v xml:space="preserve"> </v>
      </c>
    </row>
    <row r="130" spans="1:1" x14ac:dyDescent="0.25">
      <c r="A130" s="413" t="str">
        <f>IF(COUNTBLANK(I142)=1," ",COUNTA($I$74:I142))</f>
        <v xml:space="preserve"> </v>
      </c>
    </row>
    <row r="131" spans="1:1" x14ac:dyDescent="0.25">
      <c r="A131" s="413" t="str">
        <f>IF(COUNTBLANK(I143)=1," ",COUNTA($I$74:I143))</f>
        <v xml:space="preserve"> </v>
      </c>
    </row>
    <row r="132" spans="1:1" x14ac:dyDescent="0.25">
      <c r="A132" s="413" t="str">
        <f>IF(COUNTBLANK(I144)=1," ",COUNTA($I$74:I144))</f>
        <v xml:space="preserve"> </v>
      </c>
    </row>
    <row r="133" spans="1:1" x14ac:dyDescent="0.25">
      <c r="A133" s="413" t="str">
        <f>IF(COUNTBLANK(I145)=1," ",COUNTA($I$74:I145))</f>
        <v xml:space="preserve"> </v>
      </c>
    </row>
    <row r="134" spans="1:1" x14ac:dyDescent="0.25">
      <c r="A134" s="413" t="str">
        <f>IF(COUNTBLANK(I146)=1," ",COUNTA($I$74:I146))</f>
        <v xml:space="preserve"> </v>
      </c>
    </row>
    <row r="135" spans="1:1" x14ac:dyDescent="0.25">
      <c r="A135" s="413" t="str">
        <f>IF(COUNTBLANK(I147)=1," ",COUNTA($I$74:I147))</f>
        <v xml:space="preserve"> </v>
      </c>
    </row>
    <row r="136" spans="1:1" x14ac:dyDescent="0.25">
      <c r="A136" s="413" t="str">
        <f>IF(COUNTBLANK(I148)=1," ",COUNTA($I$74:I148))</f>
        <v xml:space="preserve"> </v>
      </c>
    </row>
    <row r="137" spans="1:1" x14ac:dyDescent="0.25">
      <c r="A137" s="413" t="str">
        <f>IF(COUNTBLANK(I149)=1," ",COUNTA($I$74:I149))</f>
        <v xml:space="preserve"> </v>
      </c>
    </row>
    <row r="138" spans="1:1" x14ac:dyDescent="0.25">
      <c r="A138" s="413" t="str">
        <f>IF(COUNTBLANK(I150)=1," ",COUNTA($I$74:I150))</f>
        <v xml:space="preserve"> </v>
      </c>
    </row>
    <row r="139" spans="1:1" x14ac:dyDescent="0.25">
      <c r="A139" s="413" t="str">
        <f>IF(COUNTBLANK(I151)=1," ",COUNTA($I$74:I151))</f>
        <v xml:space="preserve"> </v>
      </c>
    </row>
    <row r="140" spans="1:1" x14ac:dyDescent="0.25">
      <c r="A140" s="413" t="str">
        <f>IF(COUNTBLANK(I152)=1," ",COUNTA($I$74:I152))</f>
        <v xml:space="preserve"> </v>
      </c>
    </row>
    <row r="141" spans="1:1" x14ac:dyDescent="0.25">
      <c r="A141" s="413" t="str">
        <f>IF(COUNTBLANK(I153)=1," ",COUNTA($I$74:I153))</f>
        <v xml:space="preserve"> </v>
      </c>
    </row>
    <row r="142" spans="1:1" x14ac:dyDescent="0.25">
      <c r="A142" s="413" t="str">
        <f>IF(COUNTBLANK(I154)=1," ",COUNTA($I$74:I154))</f>
        <v xml:space="preserve"> </v>
      </c>
    </row>
    <row r="143" spans="1:1" x14ac:dyDescent="0.25">
      <c r="A143" s="413" t="str">
        <f>IF(COUNTBLANK(I155)=1," ",COUNTA($I$74:I155))</f>
        <v xml:space="preserve"> </v>
      </c>
    </row>
    <row r="144" spans="1:1" x14ac:dyDescent="0.25">
      <c r="A144" s="413" t="str">
        <f>IF(COUNTBLANK(I156)=1," ",COUNTA($I$74:I156))</f>
        <v xml:space="preserve"> </v>
      </c>
    </row>
    <row r="145" spans="1:1" x14ac:dyDescent="0.25">
      <c r="A145" s="413" t="str">
        <f>IF(COUNTBLANK(I157)=1," ",COUNTA($I$74:I157))</f>
        <v xml:space="preserve"> </v>
      </c>
    </row>
    <row r="146" spans="1:1" x14ac:dyDescent="0.25">
      <c r="A146" s="413" t="str">
        <f>IF(COUNTBLANK(I158)=1," ",COUNTA($I$74:I158))</f>
        <v xml:space="preserve"> </v>
      </c>
    </row>
    <row r="147" spans="1:1" x14ac:dyDescent="0.25">
      <c r="A147" s="413" t="str">
        <f>IF(COUNTBLANK(I159)=1," ",COUNTA($I$74:I159))</f>
        <v xml:space="preserve"> </v>
      </c>
    </row>
    <row r="148" spans="1:1" x14ac:dyDescent="0.25">
      <c r="A148" s="413" t="str">
        <f>IF(COUNTBLANK(I160)=1," ",COUNTA($I$74:I160))</f>
        <v xml:space="preserve"> </v>
      </c>
    </row>
    <row r="149" spans="1:1" x14ac:dyDescent="0.25">
      <c r="A149" s="413" t="str">
        <f>IF(COUNTBLANK(I161)=1," ",COUNTA($I$74:I161))</f>
        <v xml:space="preserve"> </v>
      </c>
    </row>
    <row r="150" spans="1:1" x14ac:dyDescent="0.25">
      <c r="A150" s="413" t="str">
        <f>IF(COUNTBLANK(I162)=1," ",COUNTA($I$74:I162))</f>
        <v xml:space="preserve"> </v>
      </c>
    </row>
    <row r="151" spans="1:1" x14ac:dyDescent="0.25">
      <c r="A151" s="413" t="str">
        <f>IF(COUNTBLANK(I163)=1," ",COUNTA($I$74:I163))</f>
        <v xml:space="preserve"> </v>
      </c>
    </row>
    <row r="152" spans="1:1" x14ac:dyDescent="0.25">
      <c r="A152" s="413" t="str">
        <f>IF(COUNTBLANK(I164)=1," ",COUNTA($I$74:I164))</f>
        <v xml:space="preserve"> </v>
      </c>
    </row>
    <row r="153" spans="1:1" x14ac:dyDescent="0.25">
      <c r="A153" s="413" t="str">
        <f>IF(COUNTBLANK(I165)=1," ",COUNTA($I$74:I165))</f>
        <v xml:space="preserve"> </v>
      </c>
    </row>
    <row r="154" spans="1:1" x14ac:dyDescent="0.25">
      <c r="A154" s="413" t="str">
        <f>IF(COUNTBLANK(I166)=1," ",COUNTA($I$74:I166))</f>
        <v xml:space="preserve"> </v>
      </c>
    </row>
    <row r="155" spans="1:1" x14ac:dyDescent="0.25">
      <c r="A155" s="413" t="str">
        <f>IF(COUNTBLANK(I167)=1," ",COUNTA($I$74:I167))</f>
        <v xml:space="preserve"> </v>
      </c>
    </row>
    <row r="156" spans="1:1" x14ac:dyDescent="0.25">
      <c r="A156" s="413" t="str">
        <f>IF(COUNTBLANK(I168)=1," ",COUNTA($I$74:I168))</f>
        <v xml:space="preserve"> </v>
      </c>
    </row>
    <row r="157" spans="1:1" x14ac:dyDescent="0.25">
      <c r="A157" s="413" t="str">
        <f>IF(COUNTBLANK(I169)=1," ",COUNTA($I$74:I169))</f>
        <v xml:space="preserve"> </v>
      </c>
    </row>
    <row r="158" spans="1:1" x14ac:dyDescent="0.25">
      <c r="A158" s="413" t="str">
        <f>IF(COUNTBLANK(I170)=1," ",COUNTA($I$74:I170))</f>
        <v xml:space="preserve"> </v>
      </c>
    </row>
    <row r="159" spans="1:1" x14ac:dyDescent="0.25">
      <c r="A159" s="413" t="str">
        <f>IF(COUNTBLANK(I171)=1," ",COUNTA($I$74:I171))</f>
        <v xml:space="preserve"> </v>
      </c>
    </row>
    <row r="160" spans="1:1" x14ac:dyDescent="0.25">
      <c r="A160" s="413" t="str">
        <f>IF(COUNTBLANK(I172)=1," ",COUNTA($I$74:I172))</f>
        <v xml:space="preserve"> </v>
      </c>
    </row>
    <row r="161" spans="1:1" x14ac:dyDescent="0.25">
      <c r="A161" s="413" t="str">
        <f>IF(COUNTBLANK(I173)=1," ",COUNTA($I$74:I173))</f>
        <v xml:space="preserve"> </v>
      </c>
    </row>
    <row r="162" spans="1:1" x14ac:dyDescent="0.25">
      <c r="A162" s="413" t="str">
        <f>IF(COUNTBLANK(I174)=1," ",COUNTA($I$74:I174))</f>
        <v xml:space="preserve"> </v>
      </c>
    </row>
    <row r="163" spans="1:1" x14ac:dyDescent="0.25">
      <c r="A163" s="413" t="str">
        <f>IF(COUNTBLANK(I175)=1," ",COUNTA($I$74:I175))</f>
        <v xml:space="preserve"> </v>
      </c>
    </row>
    <row r="164" spans="1:1" x14ac:dyDescent="0.25">
      <c r="A164" s="413" t="str">
        <f>IF(COUNTBLANK(I176)=1," ",COUNTA($I$74:I176))</f>
        <v xml:space="preserve"> </v>
      </c>
    </row>
    <row r="165" spans="1:1" x14ac:dyDescent="0.25">
      <c r="A165" s="413" t="str">
        <f>IF(COUNTBLANK(I177)=1," ",COUNTA($I$74:I177))</f>
        <v xml:space="preserve"> </v>
      </c>
    </row>
    <row r="166" spans="1:1" x14ac:dyDescent="0.25">
      <c r="A166" s="413" t="str">
        <f>IF(COUNTBLANK(I178)=1," ",COUNTA($I$74:I178))</f>
        <v xml:space="preserve"> </v>
      </c>
    </row>
    <row r="167" spans="1:1" x14ac:dyDescent="0.25">
      <c r="A167" s="413" t="str">
        <f>IF(COUNTBLANK(I179)=1," ",COUNTA($I$74:I179))</f>
        <v xml:space="preserve"> </v>
      </c>
    </row>
    <row r="168" spans="1:1" x14ac:dyDescent="0.25">
      <c r="A168" s="413" t="str">
        <f>IF(COUNTBLANK(I180)=1," ",COUNTA($I$74:I180))</f>
        <v xml:space="preserve"> </v>
      </c>
    </row>
    <row r="169" spans="1:1" x14ac:dyDescent="0.25">
      <c r="A169" s="413" t="str">
        <f>IF(COUNTBLANK(I181)=1," ",COUNTA($I$74:I181))</f>
        <v xml:space="preserve"> </v>
      </c>
    </row>
    <row r="170" spans="1:1" x14ac:dyDescent="0.25">
      <c r="A170" s="413" t="str">
        <f>IF(COUNTBLANK(I182)=1," ",COUNTA($I$74:I182))</f>
        <v xml:space="preserve"> </v>
      </c>
    </row>
    <row r="171" spans="1:1" x14ac:dyDescent="0.25">
      <c r="A171" s="413" t="str">
        <f>IF(COUNTBLANK(I183)=1," ",COUNTA($I$74:I183))</f>
        <v xml:space="preserve"> </v>
      </c>
    </row>
    <row r="172" spans="1:1" x14ac:dyDescent="0.25">
      <c r="A172" s="413" t="str">
        <f>IF(COUNTBLANK(I184)=1," ",COUNTA($I$74:I184))</f>
        <v xml:space="preserve"> </v>
      </c>
    </row>
    <row r="173" spans="1:1" x14ac:dyDescent="0.25">
      <c r="A173" s="413" t="str">
        <f>IF(COUNTBLANK(I185)=1," ",COUNTA($I$74:I185))</f>
        <v xml:space="preserve"> </v>
      </c>
    </row>
    <row r="174" spans="1:1" x14ac:dyDescent="0.25">
      <c r="A174" s="413" t="str">
        <f>IF(COUNTBLANK(I186)=1," ",COUNTA($I$74:I186))</f>
        <v xml:space="preserve"> </v>
      </c>
    </row>
    <row r="175" spans="1:1" x14ac:dyDescent="0.25">
      <c r="A175" s="413" t="str">
        <f>IF(COUNTBLANK(I187)=1," ",COUNTA($I$74:I187))</f>
        <v xml:space="preserve"> </v>
      </c>
    </row>
    <row r="176" spans="1:1" x14ac:dyDescent="0.25">
      <c r="A176" s="413" t="str">
        <f>IF(COUNTBLANK(I188)=1," ",COUNTA($I$74:I188))</f>
        <v xml:space="preserve"> </v>
      </c>
    </row>
    <row r="177" spans="1:1" x14ac:dyDescent="0.25">
      <c r="A177" s="413" t="str">
        <f>IF(COUNTBLANK(I189)=1," ",COUNTA($I$74:I189))</f>
        <v xml:space="preserve"> </v>
      </c>
    </row>
    <row r="178" spans="1:1" x14ac:dyDescent="0.25">
      <c r="A178" s="738"/>
    </row>
    <row r="179" spans="1:1" x14ac:dyDescent="0.25">
      <c r="A179" s="738"/>
    </row>
    <row r="180" spans="1:1" x14ac:dyDescent="0.25">
      <c r="A180" s="738"/>
    </row>
    <row r="181" spans="1:1" x14ac:dyDescent="0.25">
      <c r="A181" s="738"/>
    </row>
    <row r="182" spans="1:1" x14ac:dyDescent="0.25">
      <c r="A182" s="738"/>
    </row>
    <row r="183" spans="1:1" x14ac:dyDescent="0.25">
      <c r="A183" s="738"/>
    </row>
    <row r="184" spans="1:1" x14ac:dyDescent="0.25">
      <c r="A184" s="738"/>
    </row>
    <row r="185" spans="1:1" x14ac:dyDescent="0.25">
      <c r="A185" s="738"/>
    </row>
    <row r="186" spans="1:1" x14ac:dyDescent="0.25">
      <c r="A186" s="738"/>
    </row>
    <row r="187" spans="1:1" x14ac:dyDescent="0.25">
      <c r="A187" s="738"/>
    </row>
    <row r="188" spans="1:1" x14ac:dyDescent="0.25">
      <c r="A188" s="738"/>
    </row>
    <row r="189" spans="1:1" x14ac:dyDescent="0.25">
      <c r="A189" s="738"/>
    </row>
    <row r="190" spans="1:1" x14ac:dyDescent="0.25">
      <c r="A190" s="738"/>
    </row>
    <row r="191" spans="1:1" x14ac:dyDescent="0.25">
      <c r="A191" s="738"/>
    </row>
    <row r="192" spans="1:1" x14ac:dyDescent="0.25">
      <c r="A192" s="738"/>
    </row>
    <row r="193" spans="1:1" x14ac:dyDescent="0.25">
      <c r="A193" s="738"/>
    </row>
    <row r="194" spans="1:1" x14ac:dyDescent="0.25">
      <c r="A194" s="738"/>
    </row>
    <row r="195" spans="1:1" x14ac:dyDescent="0.25">
      <c r="A195" s="738"/>
    </row>
    <row r="196" spans="1:1" x14ac:dyDescent="0.25">
      <c r="A196" s="738"/>
    </row>
  </sheetData>
  <autoFilter ref="A11:IU177" xr:uid="{00000000-0009-0000-0000-00000B000000}"/>
  <mergeCells count="8">
    <mergeCell ref="A1:G1"/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M173"/>
  <sheetViews>
    <sheetView view="pageBreakPreview" topLeftCell="A32" zoomScale="85" zoomScaleSheetLayoutView="85" workbookViewId="0">
      <selection activeCell="C62" sqref="C62"/>
    </sheetView>
  </sheetViews>
  <sheetFormatPr defaultColWidth="8.5703125" defaultRowHeight="11.25" x14ac:dyDescent="0.25"/>
  <cols>
    <col min="1" max="1" width="3.42578125" style="32" customWidth="1"/>
    <col min="2" max="2" width="4" style="100" customWidth="1"/>
    <col min="3" max="3" width="56.42578125" style="129" customWidth="1"/>
    <col min="4" max="4" width="5.85546875" style="100" customWidth="1"/>
    <col min="5" max="5" width="6.5703125" style="100" customWidth="1"/>
    <col min="6" max="6" width="4.85546875" style="100" hidden="1" customWidth="1"/>
    <col min="7" max="7" width="7" style="45" customWidth="1"/>
    <col min="8" max="9" width="6.5703125" style="100" customWidth="1"/>
    <col min="10" max="10" width="7.5703125" style="100" customWidth="1"/>
    <col min="11" max="11" width="5.5703125" style="100" customWidth="1"/>
    <col min="12" max="12" width="6.42578125" style="100" customWidth="1"/>
    <col min="13" max="13" width="7.5703125" style="100" customWidth="1"/>
    <col min="14" max="14" width="7.42578125" style="100" customWidth="1"/>
    <col min="15" max="15" width="8.28515625" style="100" customWidth="1"/>
    <col min="16" max="16" width="7.42578125" style="100" customWidth="1"/>
    <col min="17" max="17" width="10.42578125" style="100" customWidth="1"/>
    <col min="18" max="18" width="42.42578125" style="100" customWidth="1"/>
    <col min="19" max="16384" width="8.5703125" style="100"/>
  </cols>
  <sheetData>
    <row r="1" spans="1:195" s="27" customFormat="1" ht="12" thickBot="1" x14ac:dyDescent="0.3">
      <c r="A1" s="837" t="s">
        <v>6</v>
      </c>
      <c r="B1" s="837"/>
      <c r="C1" s="837"/>
      <c r="D1" s="837"/>
      <c r="E1" s="837"/>
      <c r="F1" s="837"/>
      <c r="G1" s="838"/>
      <c r="H1" s="25">
        <f>KPDV!A22</f>
        <v>10</v>
      </c>
      <c r="I1" s="26"/>
      <c r="J1" s="26"/>
      <c r="K1" s="26"/>
      <c r="L1" s="26"/>
      <c r="M1" s="26"/>
    </row>
    <row r="2" spans="1:195" s="27" customFormat="1" x14ac:dyDescent="0.25">
      <c r="A2" s="267"/>
      <c r="B2" s="731"/>
      <c r="C2" s="356" t="s">
        <v>455</v>
      </c>
      <c r="D2" s="731"/>
      <c r="E2" s="731"/>
      <c r="F2" s="731"/>
      <c r="G2" s="741"/>
      <c r="H2" s="183"/>
      <c r="I2" s="26"/>
      <c r="J2" s="26"/>
      <c r="K2" s="26"/>
      <c r="L2" s="26"/>
      <c r="M2" s="26"/>
    </row>
    <row r="3" spans="1:195" x14ac:dyDescent="0.25">
      <c r="A3" s="190" t="str">
        <f>nos</f>
        <v>Būves nosaukums:  Dzīvojamās māja</v>
      </c>
      <c r="B3" s="4"/>
      <c r="C3" s="2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95" x14ac:dyDescent="0.25">
      <c r="A4" s="168" t="str">
        <f>obj</f>
        <v>Objekta nosaukums: Dzīvojamās ēkas fasādes vienkāršota atjaunošana</v>
      </c>
      <c r="B4" s="4"/>
      <c r="C4" s="2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5" x14ac:dyDescent="0.25">
      <c r="A5" s="168" t="str">
        <f>adres</f>
        <v>Objekta adrese: Aisteres iela 7, Liepājā</v>
      </c>
      <c r="B5" s="4"/>
      <c r="C5" s="2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95" ht="12" thickBot="1" x14ac:dyDescent="0.3">
      <c r="A6" s="168" t="str">
        <f>nr</f>
        <v>Pasūtījuma Nr.WS-41-17</v>
      </c>
      <c r="B6" s="4"/>
      <c r="C6" s="2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95" ht="12" thickBot="1" x14ac:dyDescent="0.3">
      <c r="A7" s="190"/>
      <c r="B7" s="7"/>
      <c r="C7" s="186" t="s">
        <v>695</v>
      </c>
      <c r="D7" s="162"/>
      <c r="E7" s="187" t="s">
        <v>142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Q65</f>
        <v>0</v>
      </c>
    </row>
    <row r="8" spans="1:195" s="27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31"/>
    </row>
    <row r="9" spans="1:195" s="32" customFormat="1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95" s="32" customFormat="1" ht="69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95" s="32" customFormat="1" x14ac:dyDescent="0.25">
      <c r="A11" s="410">
        <v>1</v>
      </c>
      <c r="B11" s="33">
        <f>A11+1</f>
        <v>2</v>
      </c>
      <c r="C11" s="730">
        <f>B11+1</f>
        <v>3</v>
      </c>
      <c r="D11" s="33">
        <f>C11+1</f>
        <v>4</v>
      </c>
      <c r="E11" s="33">
        <f>D11+1</f>
        <v>5</v>
      </c>
      <c r="F11" s="145"/>
      <c r="G11" s="33">
        <f>E11+1</f>
        <v>6</v>
      </c>
      <c r="H11" s="33">
        <f t="shared" ref="H11:Q11" si="0">G11+1</f>
        <v>7</v>
      </c>
      <c r="I11" s="33">
        <f t="shared" si="0"/>
        <v>8</v>
      </c>
      <c r="J11" s="33">
        <f t="shared" si="0"/>
        <v>9</v>
      </c>
      <c r="K11" s="33">
        <f t="shared" si="0"/>
        <v>10</v>
      </c>
      <c r="L11" s="33">
        <f t="shared" si="0"/>
        <v>11</v>
      </c>
      <c r="M11" s="33">
        <f t="shared" si="0"/>
        <v>12</v>
      </c>
      <c r="N11" s="33">
        <f t="shared" si="0"/>
        <v>13</v>
      </c>
      <c r="O11" s="33">
        <f t="shared" si="0"/>
        <v>14</v>
      </c>
      <c r="P11" s="33">
        <f t="shared" si="0"/>
        <v>15</v>
      </c>
      <c r="Q11" s="33">
        <f t="shared" si="0"/>
        <v>16</v>
      </c>
    </row>
    <row r="12" spans="1:195" s="32" customFormat="1" ht="22.5" x14ac:dyDescent="0.25">
      <c r="A12" s="52" t="str">
        <f>IF(COUNTBLANK(B12)=1," ",COUNTA($B$12:B12))</f>
        <v xml:space="preserve"> </v>
      </c>
      <c r="B12" s="743"/>
      <c r="C12" s="633" t="s">
        <v>411</v>
      </c>
      <c r="D12" s="633"/>
      <c r="E12" s="633"/>
      <c r="F12" s="14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95" s="32" customFormat="1" ht="22.5" x14ac:dyDescent="0.25">
      <c r="A13" s="52">
        <f>IF(COUNTBLANK(B13)=1," ",COUNTA($B$12:B13))</f>
        <v>1</v>
      </c>
      <c r="B13" s="288" t="s">
        <v>14</v>
      </c>
      <c r="C13" s="464" t="s">
        <v>262</v>
      </c>
      <c r="D13" s="743" t="s">
        <v>32</v>
      </c>
      <c r="E13" s="743">
        <v>2</v>
      </c>
      <c r="F13" s="145"/>
      <c r="G13" s="229"/>
      <c r="H13" s="229"/>
      <c r="I13" s="229"/>
      <c r="J13" s="229"/>
      <c r="K13" s="229"/>
      <c r="L13" s="305"/>
      <c r="M13" s="275"/>
      <c r="N13" s="275"/>
      <c r="O13" s="275"/>
      <c r="P13" s="275"/>
      <c r="Q13" s="275"/>
    </row>
    <row r="14" spans="1:195" s="32" customFormat="1" ht="22.5" x14ac:dyDescent="0.25">
      <c r="A14" s="52">
        <f>IF(COUNTBLANK(B14)=1," ",COUNTA($B$12:B14))</f>
        <v>2</v>
      </c>
      <c r="B14" s="288" t="s">
        <v>14</v>
      </c>
      <c r="C14" s="464" t="s">
        <v>263</v>
      </c>
      <c r="D14" s="743" t="s">
        <v>32</v>
      </c>
      <c r="E14" s="743">
        <v>2</v>
      </c>
      <c r="F14" s="145"/>
      <c r="G14" s="421"/>
      <c r="H14" s="271"/>
      <c r="I14" s="421"/>
      <c r="J14" s="421"/>
      <c r="K14" s="421"/>
      <c r="L14" s="305"/>
      <c r="M14" s="275"/>
      <c r="N14" s="275"/>
      <c r="O14" s="275"/>
      <c r="P14" s="275"/>
      <c r="Q14" s="275"/>
    </row>
    <row r="15" spans="1:195" s="32" customFormat="1" ht="22.5" x14ac:dyDescent="0.25">
      <c r="A15" s="52">
        <f>IF(COUNTBLANK(B15)=1," ",COUNTA($B$12:B15))</f>
        <v>3</v>
      </c>
      <c r="B15" s="288" t="s">
        <v>14</v>
      </c>
      <c r="C15" s="464" t="s">
        <v>264</v>
      </c>
      <c r="D15" s="743" t="s">
        <v>265</v>
      </c>
      <c r="E15" s="53">
        <v>0.8</v>
      </c>
      <c r="F15" s="291"/>
      <c r="G15" s="136"/>
      <c r="H15" s="271"/>
      <c r="I15" s="12"/>
      <c r="J15" s="306"/>
      <c r="K15" s="136"/>
      <c r="L15" s="305"/>
      <c r="M15" s="275"/>
      <c r="N15" s="275"/>
      <c r="O15" s="275"/>
      <c r="P15" s="275"/>
      <c r="Q15" s="275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2"/>
      <c r="BD15" s="422"/>
      <c r="BE15" s="422"/>
      <c r="BF15" s="422"/>
      <c r="BG15" s="422"/>
      <c r="BH15" s="422"/>
      <c r="BI15" s="422"/>
      <c r="BJ15" s="422"/>
      <c r="BK15" s="422"/>
      <c r="BL15" s="422"/>
      <c r="BM15" s="422"/>
      <c r="BN15" s="422"/>
      <c r="BO15" s="422"/>
      <c r="BP15" s="422"/>
      <c r="BQ15" s="422"/>
      <c r="BR15" s="422"/>
      <c r="BS15" s="422"/>
      <c r="BT15" s="422"/>
      <c r="BU15" s="422"/>
      <c r="BV15" s="422"/>
      <c r="BW15" s="422"/>
      <c r="BX15" s="422"/>
      <c r="BY15" s="422"/>
      <c r="BZ15" s="422"/>
      <c r="CA15" s="422"/>
      <c r="CB15" s="422"/>
      <c r="CC15" s="422"/>
      <c r="CD15" s="422"/>
      <c r="CE15" s="422"/>
      <c r="CF15" s="422"/>
      <c r="CG15" s="422"/>
      <c r="CH15" s="422"/>
      <c r="CI15" s="422"/>
      <c r="CJ15" s="422"/>
      <c r="CK15" s="422"/>
      <c r="CL15" s="422"/>
      <c r="CM15" s="422"/>
      <c r="CN15" s="422"/>
      <c r="CO15" s="422"/>
      <c r="CP15" s="422"/>
      <c r="CQ15" s="422"/>
      <c r="CR15" s="422"/>
      <c r="CS15" s="422"/>
      <c r="CT15" s="422"/>
      <c r="CU15" s="422"/>
      <c r="CV15" s="422"/>
      <c r="CW15" s="422"/>
      <c r="CX15" s="422"/>
      <c r="CY15" s="422"/>
      <c r="CZ15" s="422"/>
      <c r="DA15" s="422"/>
      <c r="DB15" s="422"/>
      <c r="DC15" s="422"/>
      <c r="DD15" s="422"/>
      <c r="DE15" s="422"/>
      <c r="DF15" s="422"/>
      <c r="DG15" s="422"/>
      <c r="DH15" s="422"/>
      <c r="DI15" s="422"/>
      <c r="DJ15" s="422"/>
      <c r="DK15" s="422"/>
      <c r="DL15" s="422"/>
      <c r="DM15" s="422"/>
      <c r="DN15" s="422"/>
      <c r="DO15" s="422"/>
      <c r="DP15" s="422"/>
      <c r="DQ15" s="422"/>
      <c r="DR15" s="422"/>
      <c r="DS15" s="422"/>
      <c r="DT15" s="422"/>
      <c r="DU15" s="422"/>
      <c r="DV15" s="422"/>
      <c r="DW15" s="422"/>
      <c r="DX15" s="422"/>
      <c r="DY15" s="422"/>
      <c r="DZ15" s="422"/>
      <c r="EA15" s="422"/>
      <c r="EB15" s="422"/>
      <c r="EC15" s="422"/>
      <c r="ED15" s="422"/>
      <c r="EE15" s="422"/>
      <c r="EF15" s="422"/>
      <c r="EG15" s="422"/>
      <c r="EH15" s="422"/>
      <c r="EI15" s="422"/>
      <c r="EJ15" s="422"/>
      <c r="EK15" s="422"/>
      <c r="EL15" s="422"/>
      <c r="EM15" s="422"/>
      <c r="EN15" s="422"/>
      <c r="EO15" s="422"/>
      <c r="EP15" s="422"/>
      <c r="EQ15" s="422"/>
      <c r="ER15" s="422"/>
      <c r="ES15" s="422"/>
      <c r="ET15" s="422"/>
      <c r="EU15" s="422"/>
      <c r="EV15" s="422"/>
      <c r="EW15" s="422"/>
      <c r="EX15" s="422"/>
      <c r="EY15" s="422"/>
      <c r="EZ15" s="422"/>
      <c r="FA15" s="422"/>
      <c r="FB15" s="422"/>
      <c r="FC15" s="422"/>
      <c r="FD15" s="422"/>
      <c r="FE15" s="422"/>
      <c r="FF15" s="422"/>
      <c r="FG15" s="422"/>
      <c r="FH15" s="422"/>
      <c r="FI15" s="422"/>
      <c r="FJ15" s="422"/>
      <c r="FK15" s="422"/>
      <c r="FL15" s="422"/>
      <c r="FM15" s="422"/>
      <c r="FN15" s="422"/>
      <c r="FO15" s="422"/>
      <c r="FP15" s="422"/>
      <c r="FQ15" s="422"/>
      <c r="FR15" s="422"/>
      <c r="FS15" s="422"/>
      <c r="FT15" s="422"/>
      <c r="FU15" s="422"/>
      <c r="FV15" s="422"/>
      <c r="FW15" s="422"/>
      <c r="FX15" s="422"/>
      <c r="FY15" s="422"/>
      <c r="FZ15" s="422"/>
      <c r="GA15" s="422"/>
      <c r="GB15" s="422"/>
      <c r="GC15" s="422"/>
      <c r="GD15" s="422"/>
      <c r="GE15" s="422"/>
      <c r="GF15" s="422"/>
      <c r="GG15" s="422"/>
      <c r="GH15" s="422"/>
      <c r="GI15" s="422"/>
      <c r="GJ15" s="422"/>
      <c r="GK15" s="422"/>
      <c r="GL15" s="422"/>
      <c r="GM15" s="422"/>
    </row>
    <row r="16" spans="1:195" s="32" customFormat="1" x14ac:dyDescent="0.25">
      <c r="A16" s="52" t="str">
        <f>IF(COUNTBLANK(B16)=1," ",COUNTA($B$12:B16))</f>
        <v xml:space="preserve"> </v>
      </c>
      <c r="B16" s="268"/>
      <c r="C16" s="423" t="s">
        <v>429</v>
      </c>
      <c r="D16" s="300" t="s">
        <v>26</v>
      </c>
      <c r="E16" s="290">
        <f>ROUNDUP(E15*F16,2)</f>
        <v>0.12</v>
      </c>
      <c r="F16" s="291">
        <v>0.15</v>
      </c>
      <c r="G16" s="136"/>
      <c r="H16" s="136"/>
      <c r="I16" s="136"/>
      <c r="J16" s="136"/>
      <c r="K16" s="136"/>
      <c r="L16" s="305"/>
      <c r="M16" s="275"/>
      <c r="N16" s="275"/>
      <c r="O16" s="275"/>
      <c r="P16" s="275"/>
      <c r="Q16" s="275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  <c r="AY16" s="422"/>
      <c r="AZ16" s="422"/>
      <c r="BA16" s="422"/>
      <c r="BB16" s="422"/>
      <c r="BC16" s="422"/>
      <c r="BD16" s="422"/>
      <c r="BE16" s="422"/>
      <c r="BF16" s="422"/>
      <c r="BG16" s="422"/>
      <c r="BH16" s="422"/>
      <c r="BI16" s="422"/>
      <c r="BJ16" s="422"/>
      <c r="BK16" s="422"/>
      <c r="BL16" s="422"/>
      <c r="BM16" s="422"/>
      <c r="BN16" s="422"/>
      <c r="BO16" s="422"/>
      <c r="BP16" s="422"/>
      <c r="BQ16" s="422"/>
      <c r="BR16" s="422"/>
      <c r="BS16" s="422"/>
      <c r="BT16" s="422"/>
      <c r="BU16" s="422"/>
      <c r="BV16" s="422"/>
      <c r="BW16" s="422"/>
      <c r="BX16" s="422"/>
      <c r="BY16" s="422"/>
      <c r="BZ16" s="422"/>
      <c r="CA16" s="422"/>
      <c r="CB16" s="422"/>
      <c r="CC16" s="422"/>
      <c r="CD16" s="422"/>
      <c r="CE16" s="422"/>
      <c r="CF16" s="422"/>
      <c r="CG16" s="422"/>
      <c r="CH16" s="422"/>
      <c r="CI16" s="422"/>
      <c r="CJ16" s="422"/>
      <c r="CK16" s="422"/>
      <c r="CL16" s="422"/>
      <c r="CM16" s="422"/>
      <c r="CN16" s="422"/>
      <c r="CO16" s="422"/>
      <c r="CP16" s="422"/>
      <c r="CQ16" s="422"/>
      <c r="CR16" s="422"/>
      <c r="CS16" s="422"/>
      <c r="CT16" s="422"/>
      <c r="CU16" s="422"/>
      <c r="CV16" s="422"/>
      <c r="CW16" s="422"/>
      <c r="CX16" s="422"/>
      <c r="CY16" s="422"/>
      <c r="CZ16" s="422"/>
      <c r="DA16" s="422"/>
      <c r="DB16" s="422"/>
      <c r="DC16" s="422"/>
      <c r="DD16" s="422"/>
      <c r="DE16" s="422"/>
      <c r="DF16" s="422"/>
      <c r="DG16" s="422"/>
      <c r="DH16" s="422"/>
      <c r="DI16" s="422"/>
      <c r="DJ16" s="422"/>
      <c r="DK16" s="422"/>
      <c r="DL16" s="422"/>
      <c r="DM16" s="422"/>
      <c r="DN16" s="422"/>
      <c r="DO16" s="422"/>
      <c r="DP16" s="422"/>
      <c r="DQ16" s="422"/>
      <c r="DR16" s="422"/>
      <c r="DS16" s="422"/>
      <c r="DT16" s="422"/>
      <c r="DU16" s="422"/>
      <c r="DV16" s="422"/>
      <c r="DW16" s="422"/>
      <c r="DX16" s="422"/>
      <c r="DY16" s="422"/>
      <c r="DZ16" s="422"/>
      <c r="EA16" s="422"/>
      <c r="EB16" s="422"/>
      <c r="EC16" s="422"/>
      <c r="ED16" s="422"/>
      <c r="EE16" s="422"/>
      <c r="EF16" s="422"/>
      <c r="EG16" s="422"/>
      <c r="EH16" s="422"/>
      <c r="EI16" s="422"/>
      <c r="EJ16" s="422"/>
      <c r="EK16" s="422"/>
      <c r="EL16" s="422"/>
      <c r="EM16" s="422"/>
      <c r="EN16" s="422"/>
      <c r="EO16" s="422"/>
      <c r="EP16" s="422"/>
      <c r="EQ16" s="422"/>
      <c r="ER16" s="422"/>
      <c r="ES16" s="422"/>
      <c r="ET16" s="422"/>
      <c r="EU16" s="422"/>
      <c r="EV16" s="422"/>
      <c r="EW16" s="422"/>
      <c r="EX16" s="422"/>
      <c r="EY16" s="422"/>
      <c r="EZ16" s="422"/>
      <c r="FA16" s="422"/>
      <c r="FB16" s="422"/>
      <c r="FC16" s="422"/>
      <c r="FD16" s="422"/>
      <c r="FE16" s="422"/>
      <c r="FF16" s="422"/>
      <c r="FG16" s="422"/>
      <c r="FH16" s="422"/>
      <c r="FI16" s="422"/>
      <c r="FJ16" s="422"/>
      <c r="FK16" s="422"/>
      <c r="FL16" s="422"/>
      <c r="FM16" s="422"/>
      <c r="FN16" s="422"/>
      <c r="FO16" s="422"/>
      <c r="FP16" s="422"/>
      <c r="FQ16" s="422"/>
      <c r="FR16" s="422"/>
      <c r="FS16" s="422"/>
      <c r="FT16" s="422"/>
      <c r="FU16" s="422"/>
      <c r="FV16" s="422"/>
      <c r="FW16" s="422"/>
      <c r="FX16" s="422"/>
      <c r="FY16" s="422"/>
      <c r="FZ16" s="422"/>
      <c r="GA16" s="422"/>
      <c r="GB16" s="422"/>
      <c r="GC16" s="422"/>
      <c r="GD16" s="422"/>
      <c r="GE16" s="422"/>
      <c r="GF16" s="422"/>
      <c r="GG16" s="422"/>
      <c r="GH16" s="422"/>
      <c r="GI16" s="422"/>
      <c r="GJ16" s="422"/>
      <c r="GK16" s="422"/>
      <c r="GL16" s="422"/>
      <c r="GM16" s="422"/>
    </row>
    <row r="17" spans="1:195" s="32" customFormat="1" x14ac:dyDescent="0.25">
      <c r="A17" s="52" t="str">
        <f>IF(COUNTBLANK(B17)=1," ",COUNTA($B$12:B17))</f>
        <v xml:space="preserve"> </v>
      </c>
      <c r="B17" s="268"/>
      <c r="C17" s="423" t="s">
        <v>430</v>
      </c>
      <c r="D17" s="300" t="s">
        <v>26</v>
      </c>
      <c r="E17" s="290">
        <f>ROUNDUP(E15*F17,2)</f>
        <v>0.75</v>
      </c>
      <c r="F17" s="291">
        <v>0.93</v>
      </c>
      <c r="G17" s="136"/>
      <c r="H17" s="136"/>
      <c r="I17" s="136"/>
      <c r="J17" s="136"/>
      <c r="K17" s="136"/>
      <c r="L17" s="305"/>
      <c r="M17" s="275"/>
      <c r="N17" s="275"/>
      <c r="O17" s="275"/>
      <c r="P17" s="275"/>
      <c r="Q17" s="275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424"/>
      <c r="AP17" s="424"/>
      <c r="AQ17" s="424"/>
      <c r="AR17" s="424"/>
      <c r="AS17" s="424"/>
      <c r="AT17" s="424"/>
      <c r="AU17" s="424"/>
      <c r="AV17" s="424"/>
      <c r="AW17" s="424"/>
      <c r="AX17" s="424"/>
      <c r="AY17" s="424"/>
      <c r="AZ17" s="424"/>
      <c r="BA17" s="424"/>
      <c r="BB17" s="424"/>
      <c r="BC17" s="424"/>
      <c r="BD17" s="424"/>
      <c r="BE17" s="424"/>
      <c r="BF17" s="424"/>
      <c r="BG17" s="424"/>
      <c r="BH17" s="424"/>
      <c r="BI17" s="424"/>
      <c r="BJ17" s="424"/>
      <c r="BK17" s="424"/>
      <c r="BL17" s="424"/>
      <c r="BM17" s="424"/>
      <c r="BN17" s="424"/>
      <c r="BO17" s="424"/>
      <c r="BP17" s="424"/>
      <c r="BQ17" s="424"/>
      <c r="BR17" s="424"/>
      <c r="BS17" s="424"/>
      <c r="BT17" s="424"/>
      <c r="BU17" s="424"/>
      <c r="BV17" s="424"/>
      <c r="BW17" s="424"/>
      <c r="BX17" s="424"/>
      <c r="BY17" s="424"/>
      <c r="BZ17" s="424"/>
      <c r="CA17" s="424"/>
      <c r="CB17" s="424"/>
      <c r="CC17" s="424"/>
      <c r="CD17" s="424"/>
      <c r="CE17" s="424"/>
      <c r="CF17" s="424"/>
      <c r="CG17" s="424"/>
      <c r="CH17" s="424"/>
      <c r="CI17" s="424"/>
      <c r="CJ17" s="424"/>
      <c r="CK17" s="424"/>
      <c r="CL17" s="424"/>
      <c r="CM17" s="424"/>
      <c r="CN17" s="424"/>
      <c r="CO17" s="424"/>
      <c r="CP17" s="424"/>
      <c r="CQ17" s="424"/>
      <c r="CR17" s="424"/>
      <c r="CS17" s="424"/>
      <c r="CT17" s="424"/>
      <c r="CU17" s="424"/>
      <c r="CV17" s="424"/>
      <c r="CW17" s="424"/>
      <c r="CX17" s="424"/>
      <c r="CY17" s="424"/>
      <c r="CZ17" s="424"/>
      <c r="DA17" s="424"/>
      <c r="DB17" s="424"/>
      <c r="DC17" s="424"/>
      <c r="DD17" s="424"/>
      <c r="DE17" s="424"/>
      <c r="DF17" s="424"/>
      <c r="DG17" s="424"/>
      <c r="DH17" s="424"/>
      <c r="DI17" s="424"/>
      <c r="DJ17" s="424"/>
      <c r="DK17" s="424"/>
      <c r="DL17" s="424"/>
      <c r="DM17" s="424"/>
      <c r="DN17" s="424"/>
      <c r="DO17" s="424"/>
      <c r="DP17" s="424"/>
      <c r="DQ17" s="424"/>
      <c r="DR17" s="424"/>
      <c r="DS17" s="424"/>
      <c r="DT17" s="424"/>
      <c r="DU17" s="424"/>
      <c r="DV17" s="424"/>
      <c r="DW17" s="424"/>
      <c r="DX17" s="424"/>
      <c r="DY17" s="424"/>
      <c r="DZ17" s="424"/>
      <c r="EA17" s="424"/>
      <c r="EB17" s="424"/>
      <c r="EC17" s="424"/>
      <c r="ED17" s="424"/>
      <c r="EE17" s="424"/>
      <c r="EF17" s="424"/>
      <c r="EG17" s="424"/>
      <c r="EH17" s="424"/>
      <c r="EI17" s="424"/>
      <c r="EJ17" s="424"/>
      <c r="EK17" s="424"/>
      <c r="EL17" s="424"/>
      <c r="EM17" s="424"/>
      <c r="EN17" s="424"/>
      <c r="EO17" s="424"/>
      <c r="EP17" s="424"/>
      <c r="EQ17" s="424"/>
      <c r="ER17" s="424"/>
      <c r="ES17" s="424"/>
      <c r="ET17" s="424"/>
      <c r="EU17" s="424"/>
      <c r="EV17" s="424"/>
      <c r="EW17" s="424"/>
      <c r="EX17" s="424"/>
      <c r="EY17" s="424"/>
      <c r="EZ17" s="424"/>
      <c r="FA17" s="424"/>
      <c r="FB17" s="424"/>
      <c r="FC17" s="424"/>
      <c r="FD17" s="424"/>
      <c r="FE17" s="424"/>
      <c r="FF17" s="424"/>
      <c r="FG17" s="424"/>
      <c r="FH17" s="424"/>
      <c r="FI17" s="424"/>
      <c r="FJ17" s="424"/>
      <c r="FK17" s="424"/>
      <c r="FL17" s="424"/>
      <c r="FM17" s="424"/>
      <c r="FN17" s="424"/>
      <c r="FO17" s="424"/>
      <c r="FP17" s="424"/>
      <c r="FQ17" s="424"/>
      <c r="FR17" s="424"/>
      <c r="FS17" s="424"/>
      <c r="FT17" s="424"/>
      <c r="FU17" s="424"/>
      <c r="FV17" s="424"/>
      <c r="FW17" s="424"/>
      <c r="FX17" s="424"/>
      <c r="FY17" s="424"/>
      <c r="FZ17" s="424"/>
      <c r="GA17" s="424"/>
      <c r="GB17" s="424"/>
      <c r="GC17" s="424"/>
      <c r="GD17" s="424"/>
      <c r="GE17" s="424"/>
      <c r="GF17" s="424"/>
      <c r="GG17" s="424"/>
      <c r="GH17" s="424"/>
      <c r="GI17" s="424"/>
      <c r="GJ17" s="424"/>
      <c r="GK17" s="424"/>
      <c r="GL17" s="424"/>
      <c r="GM17" s="424"/>
    </row>
    <row r="18" spans="1:195" s="32" customFormat="1" x14ac:dyDescent="0.25">
      <c r="A18" s="52" t="str">
        <f>IF(COUNTBLANK(B18)=1," ",COUNTA($B$12:B18))</f>
        <v xml:space="preserve"> </v>
      </c>
      <c r="B18" s="268"/>
      <c r="C18" s="423" t="s">
        <v>38</v>
      </c>
      <c r="D18" s="268" t="s">
        <v>211</v>
      </c>
      <c r="E18" s="290">
        <f>ROUNDUP(E15*F18,0)</f>
        <v>1</v>
      </c>
      <c r="F18" s="291">
        <v>0.25</v>
      </c>
      <c r="G18" s="136"/>
      <c r="H18" s="136"/>
      <c r="I18" s="136"/>
      <c r="J18" s="136"/>
      <c r="K18" s="136"/>
      <c r="L18" s="305"/>
      <c r="M18" s="275"/>
      <c r="N18" s="275"/>
      <c r="O18" s="275"/>
      <c r="P18" s="275"/>
      <c r="Q18" s="275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</row>
    <row r="19" spans="1:195" s="32" customFormat="1" ht="22.5" x14ac:dyDescent="0.25">
      <c r="A19" s="52">
        <f>IF(COUNTBLANK(B19)=1," ",COUNTA($B$12:B19))</f>
        <v>4</v>
      </c>
      <c r="B19" s="288" t="s">
        <v>14</v>
      </c>
      <c r="C19" s="464" t="s">
        <v>266</v>
      </c>
      <c r="D19" s="743" t="s">
        <v>32</v>
      </c>
      <c r="E19" s="377">
        <v>20</v>
      </c>
      <c r="F19" s="145"/>
      <c r="G19" s="229"/>
      <c r="H19" s="271"/>
      <c r="I19" s="229"/>
      <c r="J19" s="229"/>
      <c r="K19" s="229"/>
      <c r="L19" s="305"/>
      <c r="M19" s="275"/>
      <c r="N19" s="275"/>
      <c r="O19" s="275"/>
      <c r="P19" s="275"/>
      <c r="Q19" s="275"/>
    </row>
    <row r="20" spans="1:195" s="32" customFormat="1" ht="22.5" x14ac:dyDescent="0.25">
      <c r="A20" s="52">
        <f>IF(COUNTBLANK(B20)=1," ",COUNTA($B$12:B20))</f>
        <v>5</v>
      </c>
      <c r="B20" s="288" t="s">
        <v>14</v>
      </c>
      <c r="C20" s="464" t="s">
        <v>267</v>
      </c>
      <c r="D20" s="743" t="s">
        <v>17</v>
      </c>
      <c r="E20" s="53">
        <v>346</v>
      </c>
      <c r="F20" s="145"/>
      <c r="G20" s="229"/>
      <c r="H20" s="271"/>
      <c r="I20" s="229"/>
      <c r="J20" s="229"/>
      <c r="K20" s="229"/>
      <c r="L20" s="305"/>
      <c r="M20" s="275"/>
      <c r="N20" s="275"/>
      <c r="O20" s="275"/>
      <c r="P20" s="275"/>
      <c r="Q20" s="275"/>
    </row>
    <row r="21" spans="1:195" s="32" customFormat="1" ht="22.5" x14ac:dyDescent="0.25">
      <c r="A21" s="52">
        <f>IF(COUNTBLANK(B21)=1," ",COUNTA($B$12:B21))</f>
        <v>6</v>
      </c>
      <c r="B21" s="288" t="s">
        <v>14</v>
      </c>
      <c r="C21" s="464" t="s">
        <v>706</v>
      </c>
      <c r="D21" s="743" t="s">
        <v>17</v>
      </c>
      <c r="E21" s="53">
        <v>398</v>
      </c>
      <c r="F21" s="145"/>
      <c r="G21" s="421"/>
      <c r="H21" s="271"/>
      <c r="I21" s="421"/>
      <c r="J21" s="421"/>
      <c r="K21" s="421"/>
      <c r="L21" s="305"/>
      <c r="M21" s="275"/>
      <c r="N21" s="275"/>
      <c r="O21" s="275"/>
      <c r="P21" s="275"/>
      <c r="Q21" s="275"/>
    </row>
    <row r="22" spans="1:195" s="32" customFormat="1" ht="22.5" x14ac:dyDescent="0.25">
      <c r="A22" s="52">
        <f>IF(COUNTBLANK(B22)=1," ",COUNTA($B$12:B22))</f>
        <v>7</v>
      </c>
      <c r="B22" s="288" t="s">
        <v>14</v>
      </c>
      <c r="C22" s="464" t="s">
        <v>711</v>
      </c>
      <c r="D22" s="743" t="s">
        <v>26</v>
      </c>
      <c r="E22" s="53">
        <f>0.35*346</f>
        <v>121.1</v>
      </c>
      <c r="F22" s="291"/>
      <c r="G22" s="34"/>
      <c r="H22" s="271"/>
      <c r="I22" s="34"/>
      <c r="J22" s="306"/>
      <c r="K22" s="34"/>
      <c r="L22" s="305"/>
      <c r="M22" s="275"/>
      <c r="N22" s="275"/>
      <c r="O22" s="275"/>
      <c r="P22" s="275"/>
      <c r="Q22" s="27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5"/>
      <c r="DA22" s="425"/>
      <c r="DB22" s="425"/>
      <c r="DC22" s="425"/>
      <c r="DD22" s="425"/>
      <c r="DE22" s="425"/>
      <c r="DF22" s="425"/>
      <c r="DG22" s="425"/>
      <c r="DH22" s="425"/>
      <c r="DI22" s="425"/>
      <c r="DJ22" s="425"/>
      <c r="DK22" s="425"/>
      <c r="DL22" s="425"/>
      <c r="DM22" s="425"/>
      <c r="DN22" s="425"/>
      <c r="DO22" s="425"/>
      <c r="DP22" s="425"/>
      <c r="DQ22" s="425"/>
      <c r="DR22" s="425"/>
      <c r="DS22" s="425"/>
      <c r="DT22" s="425"/>
      <c r="DU22" s="425"/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  <c r="EF22" s="425"/>
      <c r="EG22" s="425"/>
      <c r="EH22" s="425"/>
      <c r="EI22" s="425"/>
      <c r="EJ22" s="425"/>
      <c r="EK22" s="425"/>
      <c r="EL22" s="425"/>
      <c r="EM22" s="425"/>
      <c r="EN22" s="425"/>
      <c r="EO22" s="425"/>
      <c r="EP22" s="425"/>
      <c r="EQ22" s="425"/>
      <c r="ER22" s="425"/>
      <c r="ES22" s="425"/>
      <c r="ET22" s="425"/>
      <c r="EU22" s="425"/>
      <c r="EV22" s="425"/>
      <c r="EW22" s="425"/>
      <c r="EX22" s="425"/>
      <c r="EY22" s="425"/>
      <c r="EZ22" s="425"/>
      <c r="FA22" s="425"/>
      <c r="FB22" s="425"/>
      <c r="FC22" s="425"/>
      <c r="FD22" s="425"/>
      <c r="FE22" s="425"/>
      <c r="FF22" s="425"/>
      <c r="FG22" s="425"/>
      <c r="FH22" s="425"/>
      <c r="FI22" s="425"/>
      <c r="FJ22" s="425"/>
      <c r="FK22" s="425"/>
      <c r="FL22" s="425"/>
      <c r="FM22" s="425"/>
      <c r="FN22" s="425"/>
      <c r="FO22" s="425"/>
      <c r="FP22" s="425"/>
      <c r="FQ22" s="425"/>
      <c r="FR22" s="425"/>
      <c r="FS22" s="425"/>
      <c r="FT22" s="425"/>
      <c r="FU22" s="425"/>
      <c r="FV22" s="425"/>
      <c r="FW22" s="425"/>
      <c r="FX22" s="425"/>
      <c r="FY22" s="425"/>
      <c r="FZ22" s="425"/>
      <c r="GA22" s="425"/>
      <c r="GB22" s="425"/>
      <c r="GC22" s="425"/>
      <c r="GD22" s="425"/>
      <c r="GE22" s="425"/>
      <c r="GF22" s="425"/>
      <c r="GG22" s="425"/>
      <c r="GH22" s="425"/>
      <c r="GI22" s="425"/>
      <c r="GJ22" s="425"/>
      <c r="GK22" s="425"/>
      <c r="GL22" s="425"/>
      <c r="GM22" s="425"/>
    </row>
    <row r="23" spans="1:195" s="32" customFormat="1" x14ac:dyDescent="0.25">
      <c r="A23" s="52" t="str">
        <f>IF(COUNTBLANK(B23)=1," ",COUNTA($B$12:B23))</f>
        <v xml:space="preserve"> </v>
      </c>
      <c r="B23" s="291"/>
      <c r="C23" s="426" t="s">
        <v>431</v>
      </c>
      <c r="D23" s="290" t="s">
        <v>26</v>
      </c>
      <c r="E23" s="291">
        <f>E22*F23</f>
        <v>139.26499999999999</v>
      </c>
      <c r="F23" s="291">
        <v>1.1499999999999999</v>
      </c>
      <c r="G23" s="34"/>
      <c r="H23" s="60"/>
      <c r="I23" s="34"/>
      <c r="J23" s="34"/>
      <c r="K23" s="34"/>
      <c r="L23" s="305"/>
      <c r="M23" s="275"/>
      <c r="N23" s="275"/>
      <c r="O23" s="275"/>
      <c r="P23" s="275"/>
      <c r="Q23" s="275"/>
      <c r="R23" s="425"/>
      <c r="S23" s="425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5"/>
      <c r="CE23" s="425"/>
      <c r="CF23" s="425"/>
      <c r="CG23" s="425"/>
      <c r="CH23" s="425"/>
      <c r="CI23" s="425"/>
      <c r="CJ23" s="425"/>
      <c r="CK23" s="425"/>
      <c r="CL23" s="425"/>
      <c r="CM23" s="425"/>
      <c r="CN23" s="425"/>
      <c r="CO23" s="425"/>
      <c r="CP23" s="425"/>
      <c r="CQ23" s="425"/>
      <c r="CR23" s="425"/>
      <c r="CS23" s="425"/>
      <c r="CT23" s="425"/>
      <c r="CU23" s="425"/>
      <c r="CV23" s="425"/>
      <c r="CW23" s="425"/>
      <c r="CX23" s="425"/>
      <c r="CY23" s="425"/>
      <c r="CZ23" s="425"/>
      <c r="DA23" s="425"/>
      <c r="DB23" s="425"/>
      <c r="DC23" s="425"/>
      <c r="DD23" s="425"/>
      <c r="DE23" s="425"/>
      <c r="DF23" s="425"/>
      <c r="DG23" s="425"/>
      <c r="DH23" s="425"/>
      <c r="DI23" s="425"/>
      <c r="DJ23" s="425"/>
      <c r="DK23" s="425"/>
      <c r="DL23" s="425"/>
      <c r="DM23" s="425"/>
      <c r="DN23" s="425"/>
      <c r="DO23" s="425"/>
      <c r="DP23" s="425"/>
      <c r="DQ23" s="425"/>
      <c r="DR23" s="425"/>
      <c r="DS23" s="425"/>
      <c r="DT23" s="425"/>
      <c r="DU23" s="425"/>
      <c r="DV23" s="425"/>
      <c r="DW23" s="425"/>
      <c r="DX23" s="425"/>
      <c r="DY23" s="425"/>
      <c r="DZ23" s="425"/>
      <c r="EA23" s="425"/>
      <c r="EB23" s="425"/>
      <c r="EC23" s="425"/>
      <c r="ED23" s="425"/>
      <c r="EE23" s="425"/>
      <c r="EF23" s="425"/>
      <c r="EG23" s="425"/>
      <c r="EH23" s="425"/>
      <c r="EI23" s="425"/>
      <c r="EJ23" s="425"/>
      <c r="EK23" s="425"/>
      <c r="EL23" s="425"/>
      <c r="EM23" s="425"/>
      <c r="EN23" s="425"/>
      <c r="EO23" s="425"/>
      <c r="EP23" s="425"/>
      <c r="EQ23" s="425"/>
      <c r="ER23" s="425"/>
      <c r="ES23" s="425"/>
      <c r="ET23" s="425"/>
      <c r="EU23" s="425"/>
      <c r="EV23" s="425"/>
      <c r="EW23" s="425"/>
      <c r="EX23" s="425"/>
      <c r="EY23" s="425"/>
      <c r="EZ23" s="425"/>
      <c r="FA23" s="425"/>
      <c r="FB23" s="425"/>
      <c r="FC23" s="425"/>
      <c r="FD23" s="425"/>
      <c r="FE23" s="425"/>
      <c r="FF23" s="425"/>
      <c r="FG23" s="425"/>
      <c r="FH23" s="425"/>
      <c r="FI23" s="425"/>
      <c r="FJ23" s="425"/>
      <c r="FK23" s="425"/>
      <c r="FL23" s="425"/>
      <c r="FM23" s="425"/>
      <c r="FN23" s="425"/>
      <c r="FO23" s="425"/>
      <c r="FP23" s="425"/>
      <c r="FQ23" s="425"/>
      <c r="FR23" s="425"/>
      <c r="FS23" s="425"/>
      <c r="FT23" s="425"/>
      <c r="FU23" s="425"/>
      <c r="FV23" s="425"/>
      <c r="FW23" s="425"/>
      <c r="FX23" s="425"/>
      <c r="FY23" s="425"/>
      <c r="FZ23" s="425"/>
      <c r="GA23" s="425"/>
      <c r="GB23" s="425"/>
      <c r="GC23" s="425"/>
      <c r="GD23" s="425"/>
      <c r="GE23" s="425"/>
      <c r="GF23" s="425"/>
      <c r="GG23" s="425"/>
      <c r="GH23" s="425"/>
      <c r="GI23" s="425"/>
      <c r="GJ23" s="425"/>
      <c r="GK23" s="425"/>
      <c r="GL23" s="425"/>
      <c r="GM23" s="425"/>
    </row>
    <row r="24" spans="1:195" s="32" customFormat="1" ht="22.5" x14ac:dyDescent="0.25">
      <c r="A24" s="52">
        <f>IF(COUNTBLANK(B24)=1," ",COUNTA($B$12:B24))</f>
        <v>8</v>
      </c>
      <c r="B24" s="288" t="s">
        <v>14</v>
      </c>
      <c r="C24" s="464" t="s">
        <v>268</v>
      </c>
      <c r="D24" s="743" t="s">
        <v>32</v>
      </c>
      <c r="E24" s="53">
        <v>19</v>
      </c>
      <c r="F24" s="145"/>
      <c r="G24" s="136"/>
      <c r="H24" s="271"/>
      <c r="I24" s="12"/>
      <c r="J24" s="12"/>
      <c r="K24" s="136"/>
      <c r="L24" s="305"/>
      <c r="M24" s="275"/>
      <c r="N24" s="275"/>
      <c r="O24" s="275"/>
      <c r="P24" s="275"/>
      <c r="Q24" s="275"/>
    </row>
    <row r="25" spans="1:195" s="32" customFormat="1" x14ac:dyDescent="0.25">
      <c r="A25" s="52" t="str">
        <f>IF(COUNTBLANK(B25)=1," ",COUNTA($B$12:B25))</f>
        <v xml:space="preserve"> </v>
      </c>
      <c r="B25" s="357"/>
      <c r="C25" s="95" t="s">
        <v>269</v>
      </c>
      <c r="D25" s="743" t="s">
        <v>26</v>
      </c>
      <c r="E25" s="53">
        <v>0.6</v>
      </c>
      <c r="F25" s="145"/>
      <c r="G25" s="60"/>
      <c r="H25" s="60"/>
      <c r="I25" s="15"/>
      <c r="J25" s="15"/>
      <c r="K25" s="60"/>
      <c r="L25" s="305"/>
      <c r="M25" s="275"/>
      <c r="N25" s="275"/>
      <c r="O25" s="275"/>
      <c r="P25" s="275"/>
      <c r="Q25" s="275"/>
    </row>
    <row r="26" spans="1:195" s="32" customFormat="1" x14ac:dyDescent="0.25">
      <c r="A26" s="52" t="str">
        <f>IF(COUNTBLANK(B26)=1," ",COUNTA($B$12:B26))</f>
        <v xml:space="preserve"> </v>
      </c>
      <c r="B26" s="357"/>
      <c r="C26" s="95" t="s">
        <v>270</v>
      </c>
      <c r="D26" s="743" t="s">
        <v>26</v>
      </c>
      <c r="E26" s="53">
        <v>0.6</v>
      </c>
      <c r="F26" s="145"/>
      <c r="G26" s="60"/>
      <c r="H26" s="60"/>
      <c r="I26" s="15"/>
      <c r="J26" s="15"/>
      <c r="K26" s="60"/>
      <c r="L26" s="305"/>
      <c r="M26" s="275"/>
      <c r="N26" s="275"/>
      <c r="O26" s="275"/>
      <c r="P26" s="275"/>
      <c r="Q26" s="275"/>
    </row>
    <row r="27" spans="1:195" s="32" customFormat="1" ht="22.5" x14ac:dyDescent="0.25">
      <c r="A27" s="52" t="str">
        <f>IF(COUNTBLANK(B27)=1," ",COUNTA($B$12:B27))</f>
        <v xml:space="preserve"> </v>
      </c>
      <c r="B27" s="357"/>
      <c r="C27" s="95" t="s">
        <v>880</v>
      </c>
      <c r="D27" s="743" t="s">
        <v>26</v>
      </c>
      <c r="E27" s="53">
        <v>1.1000000000000001</v>
      </c>
      <c r="F27" s="145"/>
      <c r="G27" s="60"/>
      <c r="H27" s="60"/>
      <c r="I27" s="15"/>
      <c r="J27" s="15"/>
      <c r="K27" s="60"/>
      <c r="L27" s="305"/>
      <c r="M27" s="275"/>
      <c r="N27" s="275"/>
      <c r="O27" s="275"/>
      <c r="P27" s="275"/>
      <c r="Q27" s="275"/>
    </row>
    <row r="28" spans="1:195" s="32" customFormat="1" ht="22.5" x14ac:dyDescent="0.25">
      <c r="A28" s="52">
        <f>IF(COUNTBLANK(B28)=1," ",COUNTA($B$12:B28))</f>
        <v>9</v>
      </c>
      <c r="B28" s="288" t="s">
        <v>14</v>
      </c>
      <c r="C28" s="359" t="s">
        <v>432</v>
      </c>
      <c r="D28" s="427" t="s">
        <v>17</v>
      </c>
      <c r="E28" s="428">
        <v>230</v>
      </c>
      <c r="F28" s="291"/>
      <c r="G28" s="60"/>
      <c r="H28" s="271"/>
      <c r="I28" s="60"/>
      <c r="J28" s="60"/>
      <c r="K28" s="60"/>
      <c r="L28" s="305"/>
      <c r="M28" s="275"/>
      <c r="N28" s="275"/>
      <c r="O28" s="275"/>
      <c r="P28" s="275"/>
      <c r="Q28" s="275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29"/>
      <c r="AT28" s="429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29"/>
      <c r="BG28" s="429"/>
      <c r="BH28" s="429"/>
      <c r="BI28" s="429"/>
      <c r="BJ28" s="429"/>
      <c r="BK28" s="429"/>
      <c r="BL28" s="429"/>
      <c r="BM28" s="429"/>
      <c r="BN28" s="429"/>
      <c r="BO28" s="429"/>
      <c r="BP28" s="429"/>
      <c r="BQ28" s="429"/>
      <c r="BR28" s="429"/>
      <c r="BS28" s="429"/>
      <c r="BT28" s="429"/>
      <c r="BU28" s="429"/>
      <c r="BV28" s="429"/>
      <c r="BW28" s="429"/>
      <c r="BX28" s="429"/>
      <c r="BY28" s="429"/>
      <c r="BZ28" s="429"/>
      <c r="CA28" s="429"/>
      <c r="CB28" s="429"/>
      <c r="CC28" s="429"/>
      <c r="CD28" s="429"/>
      <c r="CE28" s="429"/>
      <c r="CF28" s="429"/>
      <c r="CG28" s="429"/>
      <c r="CH28" s="429"/>
      <c r="CI28" s="429"/>
      <c r="CJ28" s="429"/>
      <c r="CK28" s="429"/>
      <c r="CL28" s="429"/>
      <c r="CM28" s="429"/>
      <c r="CN28" s="429"/>
      <c r="CO28" s="429"/>
      <c r="CP28" s="429"/>
      <c r="CQ28" s="429"/>
      <c r="CR28" s="429"/>
      <c r="CS28" s="429"/>
      <c r="CT28" s="429"/>
      <c r="CU28" s="429"/>
      <c r="CV28" s="429"/>
      <c r="CW28" s="429"/>
      <c r="CX28" s="429"/>
      <c r="CY28" s="429"/>
      <c r="CZ28" s="429"/>
      <c r="DA28" s="429"/>
      <c r="DB28" s="429"/>
      <c r="DC28" s="429"/>
      <c r="DD28" s="429"/>
      <c r="DE28" s="429"/>
      <c r="DF28" s="429"/>
      <c r="DG28" s="429"/>
      <c r="DH28" s="429"/>
      <c r="DI28" s="429"/>
      <c r="DJ28" s="429"/>
      <c r="DK28" s="429"/>
      <c r="DL28" s="429"/>
      <c r="DM28" s="429"/>
      <c r="DN28" s="429"/>
      <c r="DO28" s="429"/>
      <c r="DP28" s="429"/>
      <c r="DQ28" s="429"/>
      <c r="DR28" s="429"/>
      <c r="DS28" s="429"/>
      <c r="DT28" s="429"/>
      <c r="DU28" s="429"/>
      <c r="DV28" s="429"/>
      <c r="DW28" s="429"/>
      <c r="DX28" s="429"/>
      <c r="DY28" s="429"/>
      <c r="DZ28" s="429"/>
      <c r="EA28" s="429"/>
      <c r="EB28" s="429"/>
      <c r="EC28" s="429"/>
      <c r="ED28" s="429"/>
      <c r="EE28" s="429"/>
      <c r="EF28" s="429"/>
      <c r="EG28" s="429"/>
      <c r="EH28" s="429"/>
      <c r="EI28" s="429"/>
      <c r="EJ28" s="429"/>
      <c r="EK28" s="429"/>
      <c r="EL28" s="429"/>
      <c r="EM28" s="429"/>
      <c r="EN28" s="429"/>
      <c r="EO28" s="429"/>
      <c r="EP28" s="429"/>
      <c r="EQ28" s="429"/>
      <c r="ER28" s="429"/>
      <c r="ES28" s="429"/>
      <c r="ET28" s="429"/>
      <c r="EU28" s="429"/>
      <c r="EV28" s="429"/>
      <c r="EW28" s="429"/>
      <c r="EX28" s="429"/>
      <c r="EY28" s="429"/>
      <c r="EZ28" s="429"/>
      <c r="FA28" s="429"/>
      <c r="FB28" s="429"/>
      <c r="FC28" s="429"/>
      <c r="FD28" s="429"/>
      <c r="FE28" s="429"/>
      <c r="FF28" s="429"/>
      <c r="FG28" s="429"/>
      <c r="FH28" s="429"/>
      <c r="FI28" s="429"/>
      <c r="FJ28" s="429"/>
      <c r="FK28" s="429"/>
      <c r="FL28" s="429"/>
      <c r="FM28" s="429"/>
      <c r="FN28" s="429"/>
      <c r="FO28" s="429"/>
      <c r="FP28" s="429"/>
      <c r="FQ28" s="429"/>
      <c r="FR28" s="429"/>
      <c r="FS28" s="429"/>
      <c r="FT28" s="429"/>
      <c r="FU28" s="429"/>
      <c r="FV28" s="429"/>
      <c r="FW28" s="429"/>
      <c r="FX28" s="429"/>
      <c r="FY28" s="429"/>
      <c r="FZ28" s="429"/>
      <c r="GA28" s="429"/>
      <c r="GB28" s="429"/>
      <c r="GC28" s="429"/>
      <c r="GD28" s="429"/>
      <c r="GE28" s="429"/>
      <c r="GF28" s="429"/>
      <c r="GG28" s="429"/>
      <c r="GH28" s="429"/>
      <c r="GI28" s="429"/>
      <c r="GJ28" s="429"/>
      <c r="GK28" s="429"/>
      <c r="GL28" s="429"/>
      <c r="GM28" s="429"/>
    </row>
    <row r="29" spans="1:195" s="32" customFormat="1" x14ac:dyDescent="0.25">
      <c r="A29" s="52" t="str">
        <f>IF(COUNTBLANK(B29)=1," ",COUNTA($B$12:B29))</f>
        <v xml:space="preserve"> </v>
      </c>
      <c r="B29" s="268"/>
      <c r="C29" s="423" t="s">
        <v>433</v>
      </c>
      <c r="D29" s="268" t="s">
        <v>52</v>
      </c>
      <c r="E29" s="291">
        <f>E28*F29</f>
        <v>69</v>
      </c>
      <c r="F29" s="291">
        <v>0.3</v>
      </c>
      <c r="G29" s="60"/>
      <c r="H29" s="60"/>
      <c r="I29" s="60"/>
      <c r="J29" s="60"/>
      <c r="K29" s="60"/>
      <c r="L29" s="305"/>
      <c r="M29" s="275"/>
      <c r="N29" s="275"/>
      <c r="O29" s="275"/>
      <c r="P29" s="275"/>
      <c r="Q29" s="275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0"/>
      <c r="AU29" s="430"/>
      <c r="AV29" s="430"/>
      <c r="AW29" s="430"/>
      <c r="AX29" s="430"/>
      <c r="AY29" s="430"/>
      <c r="AZ29" s="430"/>
      <c r="BA29" s="430"/>
      <c r="BB29" s="430"/>
      <c r="BC29" s="430"/>
      <c r="BD29" s="430"/>
      <c r="BE29" s="430"/>
      <c r="BF29" s="430"/>
      <c r="BG29" s="430"/>
      <c r="BH29" s="430"/>
      <c r="BI29" s="430"/>
      <c r="BJ29" s="430"/>
      <c r="BK29" s="430"/>
      <c r="BL29" s="430"/>
      <c r="BM29" s="430"/>
      <c r="BN29" s="430"/>
      <c r="BO29" s="430"/>
      <c r="BP29" s="430"/>
      <c r="BQ29" s="430"/>
      <c r="BR29" s="430"/>
      <c r="BS29" s="430"/>
      <c r="BT29" s="430"/>
      <c r="BU29" s="430"/>
      <c r="BV29" s="430"/>
      <c r="BW29" s="430"/>
      <c r="BX29" s="430"/>
      <c r="BY29" s="430"/>
      <c r="BZ29" s="430"/>
      <c r="CA29" s="430"/>
      <c r="CB29" s="430"/>
      <c r="CC29" s="430"/>
      <c r="CD29" s="430"/>
      <c r="CE29" s="430"/>
      <c r="CF29" s="430"/>
      <c r="CG29" s="430"/>
      <c r="CH29" s="430"/>
      <c r="CI29" s="430"/>
      <c r="CJ29" s="430"/>
      <c r="CK29" s="430"/>
      <c r="CL29" s="430"/>
      <c r="CM29" s="430"/>
      <c r="CN29" s="430"/>
      <c r="CO29" s="430"/>
      <c r="CP29" s="430"/>
      <c r="CQ29" s="430"/>
      <c r="CR29" s="430"/>
      <c r="CS29" s="430"/>
      <c r="CT29" s="430"/>
      <c r="CU29" s="430"/>
      <c r="CV29" s="430"/>
      <c r="CW29" s="430"/>
      <c r="CX29" s="430"/>
      <c r="CY29" s="430"/>
      <c r="CZ29" s="430"/>
      <c r="DA29" s="430"/>
      <c r="DB29" s="430"/>
      <c r="DC29" s="430"/>
      <c r="DD29" s="430"/>
      <c r="DE29" s="430"/>
      <c r="DF29" s="430"/>
      <c r="DG29" s="430"/>
      <c r="DH29" s="430"/>
      <c r="DI29" s="430"/>
      <c r="DJ29" s="430"/>
      <c r="DK29" s="430"/>
      <c r="DL29" s="430"/>
      <c r="DM29" s="430"/>
      <c r="DN29" s="430"/>
      <c r="DO29" s="430"/>
      <c r="DP29" s="430"/>
      <c r="DQ29" s="430"/>
      <c r="DR29" s="430"/>
      <c r="DS29" s="430"/>
      <c r="DT29" s="430"/>
      <c r="DU29" s="430"/>
      <c r="DV29" s="430"/>
      <c r="DW29" s="430"/>
      <c r="DX29" s="430"/>
      <c r="DY29" s="430"/>
      <c r="DZ29" s="430"/>
      <c r="EA29" s="430"/>
      <c r="EB29" s="430"/>
      <c r="EC29" s="430"/>
      <c r="ED29" s="430"/>
      <c r="EE29" s="430"/>
      <c r="EF29" s="430"/>
      <c r="EG29" s="430"/>
      <c r="EH29" s="430"/>
      <c r="EI29" s="430"/>
      <c r="EJ29" s="430"/>
      <c r="EK29" s="430"/>
      <c r="EL29" s="430"/>
      <c r="EM29" s="430"/>
      <c r="EN29" s="430"/>
      <c r="EO29" s="430"/>
      <c r="EP29" s="430"/>
      <c r="EQ29" s="430"/>
      <c r="ER29" s="430"/>
      <c r="ES29" s="430"/>
      <c r="ET29" s="430"/>
      <c r="EU29" s="430"/>
      <c r="EV29" s="430"/>
      <c r="EW29" s="430"/>
      <c r="EX29" s="430"/>
      <c r="EY29" s="430"/>
      <c r="EZ29" s="430"/>
      <c r="FA29" s="430"/>
      <c r="FB29" s="430"/>
      <c r="FC29" s="430"/>
      <c r="FD29" s="430"/>
      <c r="FE29" s="430"/>
      <c r="FF29" s="430"/>
      <c r="FG29" s="430"/>
      <c r="FH29" s="430"/>
      <c r="FI29" s="430"/>
      <c r="FJ29" s="430"/>
      <c r="FK29" s="430"/>
      <c r="FL29" s="430"/>
      <c r="FM29" s="430"/>
      <c r="FN29" s="430"/>
      <c r="FO29" s="430"/>
      <c r="FP29" s="430"/>
      <c r="FQ29" s="430"/>
      <c r="FR29" s="430"/>
      <c r="FS29" s="430"/>
      <c r="FT29" s="430"/>
      <c r="FU29" s="430"/>
      <c r="FV29" s="430"/>
      <c r="FW29" s="430"/>
      <c r="FX29" s="430"/>
      <c r="FY29" s="430"/>
      <c r="FZ29" s="430"/>
      <c r="GA29" s="430"/>
      <c r="GB29" s="430"/>
      <c r="GC29" s="430"/>
      <c r="GD29" s="430"/>
      <c r="GE29" s="430"/>
      <c r="GF29" s="430"/>
      <c r="GG29" s="430"/>
      <c r="GH29" s="430"/>
      <c r="GI29" s="430"/>
      <c r="GJ29" s="430"/>
      <c r="GK29" s="430"/>
      <c r="GL29" s="430"/>
      <c r="GM29" s="430"/>
    </row>
    <row r="30" spans="1:195" s="32" customFormat="1" ht="22.5" x14ac:dyDescent="0.25">
      <c r="A30" s="52" t="str">
        <f>IF(COUNTBLANK(B30)=1," ",COUNTA($B$12:B30))</f>
        <v xml:space="preserve"> </v>
      </c>
      <c r="B30" s="357"/>
      <c r="C30" s="679" t="s">
        <v>271</v>
      </c>
      <c r="D30" s="743" t="s">
        <v>32</v>
      </c>
      <c r="E30" s="377">
        <v>13</v>
      </c>
      <c r="F30" s="145"/>
      <c r="G30" s="33"/>
      <c r="H30" s="33"/>
      <c r="I30" s="33"/>
      <c r="J30" s="33"/>
      <c r="K30" s="33"/>
      <c r="L30" s="305"/>
      <c r="M30" s="275"/>
      <c r="N30" s="275"/>
      <c r="O30" s="275"/>
      <c r="P30" s="275"/>
      <c r="Q30" s="275"/>
    </row>
    <row r="31" spans="1:195" s="32" customFormat="1" ht="22.5" x14ac:dyDescent="0.25">
      <c r="A31" s="52">
        <f>IF(COUNTBLANK(B31)=1," ",COUNTA($B$12:B31))</f>
        <v>10</v>
      </c>
      <c r="B31" s="288" t="s">
        <v>14</v>
      </c>
      <c r="C31" s="54" t="s">
        <v>412</v>
      </c>
      <c r="D31" s="743" t="s">
        <v>26</v>
      </c>
      <c r="E31" s="53">
        <f>0.2*0.51*0.51*13</f>
        <v>0.67626000000000008</v>
      </c>
      <c r="F31" s="136"/>
      <c r="G31" s="431"/>
      <c r="H31" s="271"/>
      <c r="I31" s="431"/>
      <c r="J31" s="432"/>
      <c r="K31" s="431"/>
      <c r="L31" s="305"/>
      <c r="M31" s="275"/>
      <c r="N31" s="275"/>
      <c r="O31" s="275"/>
      <c r="P31" s="275"/>
      <c r="Q31" s="275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  <c r="BR31" s="262"/>
      <c r="BS31" s="262"/>
      <c r="BT31" s="262"/>
      <c r="BU31" s="262"/>
      <c r="BV31" s="262"/>
      <c r="BW31" s="262"/>
      <c r="BX31" s="262"/>
      <c r="BY31" s="262"/>
      <c r="BZ31" s="262"/>
      <c r="CA31" s="262"/>
      <c r="CB31" s="262"/>
      <c r="CC31" s="262"/>
      <c r="CD31" s="262"/>
      <c r="CE31" s="262"/>
      <c r="CF31" s="262"/>
      <c r="CG31" s="262"/>
      <c r="CH31" s="262"/>
      <c r="CI31" s="262"/>
      <c r="CJ31" s="262"/>
      <c r="CK31" s="262"/>
      <c r="CL31" s="262"/>
      <c r="CM31" s="262"/>
      <c r="CN31" s="262"/>
      <c r="CO31" s="262"/>
      <c r="CP31" s="262"/>
      <c r="CQ31" s="262"/>
      <c r="CR31" s="262"/>
      <c r="CS31" s="262"/>
      <c r="CT31" s="262"/>
      <c r="CU31" s="262"/>
      <c r="CV31" s="262"/>
      <c r="CW31" s="262"/>
      <c r="CX31" s="262"/>
      <c r="CY31" s="262"/>
      <c r="CZ31" s="262"/>
      <c r="DA31" s="262"/>
      <c r="DB31" s="262"/>
      <c r="DC31" s="262"/>
      <c r="DD31" s="262"/>
      <c r="DE31" s="262"/>
      <c r="DF31" s="262"/>
      <c r="DG31" s="262"/>
      <c r="DH31" s="262"/>
      <c r="DI31" s="262"/>
      <c r="DJ31" s="262"/>
      <c r="DK31" s="262"/>
      <c r="DL31" s="262"/>
      <c r="DM31" s="262"/>
      <c r="DN31" s="262"/>
      <c r="DO31" s="262"/>
      <c r="DP31" s="262"/>
      <c r="DQ31" s="262"/>
      <c r="DR31" s="262"/>
      <c r="DS31" s="262"/>
      <c r="DT31" s="262"/>
      <c r="DU31" s="262"/>
      <c r="DV31" s="262"/>
      <c r="DW31" s="262"/>
      <c r="DX31" s="262"/>
      <c r="DY31" s="262"/>
      <c r="DZ31" s="262"/>
      <c r="EA31" s="262"/>
      <c r="EB31" s="262"/>
      <c r="EC31" s="262"/>
      <c r="ED31" s="262"/>
      <c r="EE31" s="262"/>
      <c r="EF31" s="262"/>
      <c r="EG31" s="262"/>
      <c r="EH31" s="262"/>
      <c r="EI31" s="262"/>
      <c r="EJ31" s="262"/>
      <c r="EK31" s="262"/>
      <c r="EL31" s="262"/>
      <c r="EM31" s="262"/>
      <c r="EN31" s="262"/>
      <c r="EO31" s="262"/>
      <c r="EP31" s="262"/>
      <c r="EQ31" s="262"/>
      <c r="ER31" s="262"/>
      <c r="ES31" s="262"/>
      <c r="ET31" s="262"/>
      <c r="EU31" s="262"/>
      <c r="EV31" s="262"/>
      <c r="EW31" s="262"/>
      <c r="EX31" s="262"/>
      <c r="EY31" s="262"/>
      <c r="EZ31" s="262"/>
      <c r="FA31" s="262"/>
      <c r="FB31" s="262"/>
      <c r="FC31" s="262"/>
      <c r="FD31" s="262"/>
      <c r="FE31" s="262"/>
      <c r="FF31" s="262"/>
      <c r="FG31" s="262"/>
      <c r="FH31" s="262"/>
      <c r="FI31" s="262"/>
      <c r="FJ31" s="262"/>
      <c r="FK31" s="262"/>
      <c r="FL31" s="262"/>
      <c r="FM31" s="262"/>
      <c r="FN31" s="262"/>
      <c r="FO31" s="262"/>
      <c r="FP31" s="262"/>
      <c r="FQ31" s="262"/>
      <c r="FR31" s="262"/>
      <c r="FS31" s="262"/>
      <c r="FT31" s="262"/>
      <c r="FU31" s="262"/>
      <c r="FV31" s="262"/>
      <c r="FW31" s="262"/>
      <c r="FX31" s="262"/>
      <c r="FY31" s="262"/>
      <c r="FZ31" s="262"/>
      <c r="GA31" s="262"/>
      <c r="GB31" s="262"/>
      <c r="GC31" s="262"/>
      <c r="GD31" s="262"/>
      <c r="GE31" s="262"/>
      <c r="GF31" s="262"/>
      <c r="GG31" s="262"/>
      <c r="GH31" s="262"/>
      <c r="GI31" s="262"/>
      <c r="GJ31" s="262"/>
      <c r="GK31" s="262"/>
      <c r="GL31" s="262"/>
      <c r="GM31" s="262"/>
    </row>
    <row r="32" spans="1:195" s="32" customFormat="1" ht="15" x14ac:dyDescent="0.25">
      <c r="A32" s="52" t="str">
        <f>IF(COUNTBLANK(B32)=1," ",COUNTA($B$12:B32))</f>
        <v xml:space="preserve"> </v>
      </c>
      <c r="B32" s="729"/>
      <c r="C32" s="736" t="s">
        <v>429</v>
      </c>
      <c r="D32" s="729" t="s">
        <v>26</v>
      </c>
      <c r="E32" s="10">
        <f>ROUNDUP(E31*F32,2)</f>
        <v>0.17</v>
      </c>
      <c r="F32" s="729">
        <v>0.25</v>
      </c>
      <c r="G32" s="434"/>
      <c r="H32" s="431"/>
      <c r="I32" s="431"/>
      <c r="J32" s="431"/>
      <c r="K32" s="431"/>
      <c r="L32" s="305"/>
      <c r="M32" s="275"/>
      <c r="N32" s="275"/>
      <c r="O32" s="275"/>
      <c r="P32" s="275"/>
      <c r="Q32" s="275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2"/>
      <c r="BK32" s="262"/>
      <c r="BL32" s="262"/>
      <c r="BM32" s="262"/>
      <c r="BN32" s="262"/>
      <c r="BO32" s="262"/>
      <c r="BP32" s="262"/>
      <c r="BQ32" s="262"/>
      <c r="BR32" s="262"/>
      <c r="BS32" s="262"/>
      <c r="BT32" s="262"/>
      <c r="BU32" s="262"/>
      <c r="BV32" s="262"/>
      <c r="BW32" s="262"/>
      <c r="BX32" s="262"/>
      <c r="BY32" s="262"/>
      <c r="BZ32" s="262"/>
      <c r="CA32" s="262"/>
      <c r="CB32" s="262"/>
      <c r="CC32" s="262"/>
      <c r="CD32" s="262"/>
      <c r="CE32" s="262"/>
      <c r="CF32" s="262"/>
      <c r="CG32" s="262"/>
      <c r="CH32" s="262"/>
      <c r="CI32" s="262"/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2"/>
      <c r="CZ32" s="262"/>
      <c r="DA32" s="262"/>
      <c r="DB32" s="262"/>
      <c r="DC32" s="262"/>
      <c r="DD32" s="262"/>
      <c r="DE32" s="262"/>
      <c r="DF32" s="262"/>
      <c r="DG32" s="262"/>
      <c r="DH32" s="262"/>
      <c r="DI32" s="262"/>
      <c r="DJ32" s="262"/>
      <c r="DK32" s="262"/>
      <c r="DL32" s="262"/>
      <c r="DM32" s="262"/>
      <c r="DN32" s="262"/>
      <c r="DO32" s="262"/>
      <c r="DP32" s="262"/>
      <c r="DQ32" s="262"/>
      <c r="DR32" s="262"/>
      <c r="DS32" s="262"/>
      <c r="DT32" s="262"/>
      <c r="DU32" s="262"/>
      <c r="DV32" s="262"/>
      <c r="DW32" s="262"/>
      <c r="DX32" s="262"/>
      <c r="DY32" s="262"/>
      <c r="DZ32" s="262"/>
      <c r="EA32" s="262"/>
      <c r="EB32" s="262"/>
      <c r="EC32" s="262"/>
      <c r="ED32" s="262"/>
      <c r="EE32" s="262"/>
      <c r="EF32" s="262"/>
      <c r="EG32" s="262"/>
      <c r="EH32" s="262"/>
      <c r="EI32" s="262"/>
      <c r="EJ32" s="262"/>
      <c r="EK32" s="262"/>
      <c r="EL32" s="262"/>
      <c r="EM32" s="262"/>
      <c r="EN32" s="262"/>
      <c r="EO32" s="262"/>
      <c r="EP32" s="262"/>
      <c r="EQ32" s="262"/>
      <c r="ER32" s="262"/>
      <c r="ES32" s="262"/>
      <c r="ET32" s="262"/>
      <c r="EU32" s="262"/>
      <c r="EV32" s="262"/>
      <c r="EW32" s="262"/>
      <c r="EX32" s="262"/>
      <c r="EY32" s="262"/>
      <c r="EZ32" s="262"/>
      <c r="FA32" s="262"/>
      <c r="FB32" s="262"/>
      <c r="FC32" s="262"/>
      <c r="FD32" s="262"/>
      <c r="FE32" s="262"/>
      <c r="FF32" s="262"/>
      <c r="FG32" s="262"/>
      <c r="FH32" s="262"/>
      <c r="FI32" s="262"/>
      <c r="FJ32" s="262"/>
      <c r="FK32" s="262"/>
      <c r="FL32" s="262"/>
      <c r="FM32" s="262"/>
      <c r="FN32" s="262"/>
      <c r="FO32" s="262"/>
      <c r="FP32" s="262"/>
      <c r="FQ32" s="262"/>
      <c r="FR32" s="262"/>
      <c r="FS32" s="262"/>
      <c r="FT32" s="262"/>
      <c r="FU32" s="262"/>
      <c r="FV32" s="262"/>
      <c r="FW32" s="262"/>
      <c r="FX32" s="262"/>
      <c r="FY32" s="262"/>
      <c r="FZ32" s="262"/>
      <c r="GA32" s="262"/>
      <c r="GB32" s="262"/>
      <c r="GC32" s="262"/>
      <c r="GD32" s="262"/>
      <c r="GE32" s="262"/>
      <c r="GF32" s="262"/>
      <c r="GG32" s="262"/>
      <c r="GH32" s="262"/>
      <c r="GI32" s="262"/>
      <c r="GJ32" s="262"/>
      <c r="GK32" s="262"/>
      <c r="GL32" s="262"/>
      <c r="GM32" s="262"/>
    </row>
    <row r="33" spans="1:195" s="32" customFormat="1" ht="15" x14ac:dyDescent="0.25">
      <c r="A33" s="52" t="str">
        <f>IF(COUNTBLANK(B33)=1," ",COUNTA($B$12:B33))</f>
        <v xml:space="preserve"> </v>
      </c>
      <c r="B33" s="729"/>
      <c r="C33" s="736" t="s">
        <v>38</v>
      </c>
      <c r="D33" s="729" t="s">
        <v>211</v>
      </c>
      <c r="E33" s="10">
        <f>ROUNDUP(E31*F33,2)</f>
        <v>0.05</v>
      </c>
      <c r="F33" s="729">
        <v>0.06</v>
      </c>
      <c r="G33" s="10"/>
      <c r="H33" s="10"/>
      <c r="I33" s="10"/>
      <c r="J33" s="10"/>
      <c r="K33" s="10"/>
      <c r="L33" s="305"/>
      <c r="M33" s="275"/>
      <c r="N33" s="275"/>
      <c r="O33" s="275"/>
      <c r="P33" s="275"/>
      <c r="Q33" s="275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2"/>
      <c r="BB33" s="262"/>
      <c r="BC33" s="262"/>
      <c r="BD33" s="262"/>
      <c r="BE33" s="262"/>
      <c r="BF33" s="262"/>
      <c r="BG33" s="262"/>
      <c r="BH33" s="262"/>
      <c r="BI33" s="262"/>
      <c r="BJ33" s="262"/>
      <c r="BK33" s="262"/>
      <c r="BL33" s="262"/>
      <c r="BM33" s="262"/>
      <c r="BN33" s="262"/>
      <c r="BO33" s="262"/>
      <c r="BP33" s="262"/>
      <c r="BQ33" s="262"/>
      <c r="BR33" s="262"/>
      <c r="BS33" s="262"/>
      <c r="BT33" s="262"/>
      <c r="BU33" s="262"/>
      <c r="BV33" s="262"/>
      <c r="BW33" s="262"/>
      <c r="BX33" s="262"/>
      <c r="BY33" s="262"/>
      <c r="BZ33" s="262"/>
      <c r="CA33" s="262"/>
      <c r="CB33" s="262"/>
      <c r="CC33" s="262"/>
      <c r="CD33" s="262"/>
      <c r="CE33" s="262"/>
      <c r="CF33" s="262"/>
      <c r="CG33" s="262"/>
      <c r="CH33" s="262"/>
      <c r="CI33" s="262"/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262"/>
      <c r="DD33" s="262"/>
      <c r="DE33" s="262"/>
      <c r="DF33" s="262"/>
      <c r="DG33" s="262"/>
      <c r="DH33" s="262"/>
      <c r="DI33" s="262"/>
      <c r="DJ33" s="262"/>
      <c r="DK33" s="262"/>
      <c r="DL33" s="262"/>
      <c r="DM33" s="262"/>
      <c r="DN33" s="262"/>
      <c r="DO33" s="262"/>
      <c r="DP33" s="262"/>
      <c r="DQ33" s="262"/>
      <c r="DR33" s="262"/>
      <c r="DS33" s="262"/>
      <c r="DT33" s="262"/>
      <c r="DU33" s="262"/>
      <c r="DV33" s="262"/>
      <c r="DW33" s="262"/>
      <c r="DX33" s="262"/>
      <c r="DY33" s="262"/>
      <c r="DZ33" s="262"/>
      <c r="EA33" s="262"/>
      <c r="EB33" s="262"/>
      <c r="EC33" s="262"/>
      <c r="ED33" s="262"/>
      <c r="EE33" s="262"/>
      <c r="EF33" s="262"/>
      <c r="EG33" s="262"/>
      <c r="EH33" s="262"/>
      <c r="EI33" s="262"/>
      <c r="EJ33" s="262"/>
      <c r="EK33" s="262"/>
      <c r="EL33" s="262"/>
      <c r="EM33" s="262"/>
      <c r="EN33" s="262"/>
      <c r="EO33" s="262"/>
      <c r="EP33" s="262"/>
      <c r="EQ33" s="262"/>
      <c r="ER33" s="262"/>
      <c r="ES33" s="262"/>
      <c r="ET33" s="262"/>
      <c r="EU33" s="262"/>
      <c r="EV33" s="262"/>
      <c r="EW33" s="262"/>
      <c r="EX33" s="262"/>
      <c r="EY33" s="262"/>
      <c r="EZ33" s="262"/>
      <c r="FA33" s="262"/>
      <c r="FB33" s="262"/>
      <c r="FC33" s="262"/>
      <c r="FD33" s="262"/>
      <c r="FE33" s="262"/>
      <c r="FF33" s="262"/>
      <c r="FG33" s="262"/>
      <c r="FH33" s="262"/>
      <c r="FI33" s="262"/>
      <c r="FJ33" s="262"/>
      <c r="FK33" s="262"/>
      <c r="FL33" s="262"/>
      <c r="FM33" s="262"/>
      <c r="FN33" s="262"/>
      <c r="FO33" s="262"/>
      <c r="FP33" s="262"/>
      <c r="FQ33" s="262"/>
      <c r="FR33" s="262"/>
      <c r="FS33" s="262"/>
      <c r="FT33" s="262"/>
      <c r="FU33" s="262"/>
      <c r="FV33" s="262"/>
      <c r="FW33" s="262"/>
      <c r="FX33" s="262"/>
      <c r="FY33" s="262"/>
      <c r="FZ33" s="262"/>
      <c r="GA33" s="262"/>
      <c r="GB33" s="262"/>
      <c r="GC33" s="262"/>
      <c r="GD33" s="262"/>
      <c r="GE33" s="262"/>
      <c r="GF33" s="262"/>
      <c r="GG33" s="262"/>
      <c r="GH33" s="262"/>
      <c r="GI33" s="262"/>
      <c r="GJ33" s="262"/>
      <c r="GK33" s="262"/>
      <c r="GL33" s="262"/>
      <c r="GM33" s="262"/>
    </row>
    <row r="34" spans="1:195" s="32" customFormat="1" ht="15" x14ac:dyDescent="0.25">
      <c r="A34" s="52" t="str">
        <f>IF(COUNTBLANK(B34)=1," ",COUNTA($B$12:B34))</f>
        <v xml:space="preserve"> </v>
      </c>
      <c r="B34" s="729"/>
      <c r="C34" s="736" t="s">
        <v>434</v>
      </c>
      <c r="D34" s="236" t="s">
        <v>32</v>
      </c>
      <c r="E34" s="10">
        <f>ROUNDUP(E31*F34,0)</f>
        <v>203</v>
      </c>
      <c r="F34" s="729">
        <v>300</v>
      </c>
      <c r="G34" s="729"/>
      <c r="H34" s="729"/>
      <c r="I34" s="729"/>
      <c r="J34" s="729"/>
      <c r="K34" s="729"/>
      <c r="L34" s="305"/>
      <c r="M34" s="275"/>
      <c r="N34" s="275"/>
      <c r="O34" s="275"/>
      <c r="P34" s="275"/>
      <c r="Q34" s="275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  <c r="BB34" s="262"/>
      <c r="BC34" s="262"/>
      <c r="BD34" s="262"/>
      <c r="BE34" s="262"/>
      <c r="BF34" s="262"/>
      <c r="BG34" s="262"/>
      <c r="BH34" s="262"/>
      <c r="BI34" s="262"/>
      <c r="BJ34" s="262"/>
      <c r="BK34" s="262"/>
      <c r="BL34" s="262"/>
      <c r="BM34" s="262"/>
      <c r="BN34" s="262"/>
      <c r="BO34" s="262"/>
      <c r="BP34" s="262"/>
      <c r="BQ34" s="262"/>
      <c r="BR34" s="262"/>
      <c r="BS34" s="262"/>
      <c r="BT34" s="262"/>
      <c r="BU34" s="262"/>
      <c r="BV34" s="262"/>
      <c r="BW34" s="262"/>
      <c r="BX34" s="262"/>
      <c r="BY34" s="262"/>
      <c r="BZ34" s="262"/>
      <c r="CA34" s="262"/>
      <c r="CB34" s="262"/>
      <c r="CC34" s="262"/>
      <c r="CD34" s="262"/>
      <c r="CE34" s="262"/>
      <c r="CF34" s="262"/>
      <c r="CG34" s="262"/>
      <c r="CH34" s="262"/>
      <c r="CI34" s="262"/>
      <c r="CJ34" s="262"/>
      <c r="CK34" s="262"/>
      <c r="CL34" s="262"/>
      <c r="CM34" s="262"/>
      <c r="CN34" s="262"/>
      <c r="CO34" s="262"/>
      <c r="CP34" s="262"/>
      <c r="CQ34" s="262"/>
      <c r="CR34" s="262"/>
      <c r="CS34" s="262"/>
      <c r="CT34" s="262"/>
      <c r="CU34" s="262"/>
      <c r="CV34" s="262"/>
      <c r="CW34" s="262"/>
      <c r="CX34" s="262"/>
      <c r="CY34" s="262"/>
      <c r="CZ34" s="262"/>
      <c r="DA34" s="262"/>
      <c r="DB34" s="262"/>
      <c r="DC34" s="262"/>
      <c r="DD34" s="262"/>
      <c r="DE34" s="262"/>
      <c r="DF34" s="262"/>
      <c r="DG34" s="262"/>
      <c r="DH34" s="262"/>
      <c r="DI34" s="262"/>
      <c r="DJ34" s="262"/>
      <c r="DK34" s="262"/>
      <c r="DL34" s="262"/>
      <c r="DM34" s="262"/>
      <c r="DN34" s="262"/>
      <c r="DO34" s="262"/>
      <c r="DP34" s="262"/>
      <c r="DQ34" s="262"/>
      <c r="DR34" s="262"/>
      <c r="DS34" s="262"/>
      <c r="DT34" s="262"/>
      <c r="DU34" s="262"/>
      <c r="DV34" s="262"/>
      <c r="DW34" s="262"/>
      <c r="DX34" s="262"/>
      <c r="DY34" s="262"/>
      <c r="DZ34" s="262"/>
      <c r="EA34" s="262"/>
      <c r="EB34" s="262"/>
      <c r="EC34" s="262"/>
      <c r="ED34" s="262"/>
      <c r="EE34" s="262"/>
      <c r="EF34" s="262"/>
      <c r="EG34" s="262"/>
      <c r="EH34" s="262"/>
      <c r="EI34" s="262"/>
      <c r="EJ34" s="262"/>
      <c r="EK34" s="262"/>
      <c r="EL34" s="262"/>
      <c r="EM34" s="262"/>
      <c r="EN34" s="262"/>
      <c r="EO34" s="262"/>
      <c r="EP34" s="262"/>
      <c r="EQ34" s="262"/>
      <c r="ER34" s="262"/>
      <c r="ES34" s="262"/>
      <c r="ET34" s="262"/>
      <c r="EU34" s="262"/>
      <c r="EV34" s="262"/>
      <c r="EW34" s="262"/>
      <c r="EX34" s="262"/>
      <c r="EY34" s="262"/>
      <c r="EZ34" s="262"/>
      <c r="FA34" s="262"/>
      <c r="FB34" s="262"/>
      <c r="FC34" s="262"/>
      <c r="FD34" s="262"/>
      <c r="FE34" s="262"/>
      <c r="FF34" s="262"/>
      <c r="FG34" s="262"/>
      <c r="FH34" s="262"/>
      <c r="FI34" s="262"/>
      <c r="FJ34" s="262"/>
      <c r="FK34" s="262"/>
      <c r="FL34" s="262"/>
      <c r="FM34" s="262"/>
      <c r="FN34" s="262"/>
      <c r="FO34" s="262"/>
      <c r="FP34" s="262"/>
      <c r="FQ34" s="262"/>
      <c r="FR34" s="262"/>
      <c r="FS34" s="262"/>
      <c r="FT34" s="262"/>
      <c r="FU34" s="262"/>
      <c r="FV34" s="262"/>
      <c r="FW34" s="262"/>
      <c r="FX34" s="262"/>
      <c r="FY34" s="262"/>
      <c r="FZ34" s="262"/>
      <c r="GA34" s="262"/>
      <c r="GB34" s="262"/>
      <c r="GC34" s="262"/>
      <c r="GD34" s="262"/>
      <c r="GE34" s="262"/>
      <c r="GF34" s="262"/>
      <c r="GG34" s="262"/>
      <c r="GH34" s="262"/>
      <c r="GI34" s="262"/>
      <c r="GJ34" s="262"/>
      <c r="GK34" s="262"/>
      <c r="GL34" s="262"/>
      <c r="GM34" s="262"/>
    </row>
    <row r="35" spans="1:195" s="32" customFormat="1" ht="22.5" x14ac:dyDescent="0.25">
      <c r="A35" s="52">
        <f>IF(COUNTBLANK(B35)=1," ",COUNTA($B$12:B35))</f>
        <v>11</v>
      </c>
      <c r="B35" s="288" t="s">
        <v>14</v>
      </c>
      <c r="C35" s="54" t="s">
        <v>413</v>
      </c>
      <c r="D35" s="743" t="s">
        <v>26</v>
      </c>
      <c r="E35" s="10">
        <f>0.47*0.47*2.1*11+0.47*0.47*2</f>
        <v>5.5445899999999995</v>
      </c>
      <c r="F35" s="291"/>
      <c r="G35" s="136"/>
      <c r="H35" s="271"/>
      <c r="I35" s="12"/>
      <c r="J35" s="306"/>
      <c r="K35" s="136"/>
      <c r="L35" s="305"/>
      <c r="M35" s="275"/>
      <c r="N35" s="275"/>
      <c r="O35" s="275"/>
      <c r="P35" s="275"/>
      <c r="Q35" s="275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  <c r="AC35" s="422"/>
      <c r="AD35" s="422"/>
      <c r="AE35" s="422"/>
      <c r="AF35" s="422"/>
      <c r="AG35" s="422"/>
      <c r="AH35" s="422"/>
      <c r="AI35" s="422"/>
      <c r="AJ35" s="422"/>
      <c r="AK35" s="422"/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2"/>
      <c r="AY35" s="422"/>
      <c r="AZ35" s="422"/>
      <c r="BA35" s="422"/>
      <c r="BB35" s="422"/>
      <c r="BC35" s="422"/>
      <c r="BD35" s="422"/>
      <c r="BE35" s="422"/>
      <c r="BF35" s="422"/>
      <c r="BG35" s="422"/>
      <c r="BH35" s="422"/>
      <c r="BI35" s="422"/>
      <c r="BJ35" s="422"/>
      <c r="BK35" s="422"/>
      <c r="BL35" s="422"/>
      <c r="BM35" s="422"/>
      <c r="BN35" s="422"/>
      <c r="BO35" s="422"/>
      <c r="BP35" s="422"/>
      <c r="BQ35" s="422"/>
      <c r="BR35" s="422"/>
      <c r="BS35" s="422"/>
      <c r="BT35" s="422"/>
      <c r="BU35" s="422"/>
      <c r="BV35" s="422"/>
      <c r="BW35" s="422"/>
      <c r="BX35" s="422"/>
      <c r="BY35" s="422"/>
      <c r="BZ35" s="422"/>
      <c r="CA35" s="422"/>
      <c r="CB35" s="422"/>
      <c r="CC35" s="422"/>
      <c r="CD35" s="422"/>
      <c r="CE35" s="422"/>
      <c r="CF35" s="422"/>
      <c r="CG35" s="422"/>
      <c r="CH35" s="422"/>
      <c r="CI35" s="422"/>
      <c r="CJ35" s="422"/>
      <c r="CK35" s="422"/>
      <c r="CL35" s="422"/>
      <c r="CM35" s="422"/>
      <c r="CN35" s="422"/>
      <c r="CO35" s="422"/>
      <c r="CP35" s="422"/>
      <c r="CQ35" s="422"/>
      <c r="CR35" s="422"/>
      <c r="CS35" s="422"/>
      <c r="CT35" s="422"/>
      <c r="CU35" s="422"/>
      <c r="CV35" s="422"/>
      <c r="CW35" s="422"/>
      <c r="CX35" s="422"/>
      <c r="CY35" s="422"/>
      <c r="CZ35" s="422"/>
      <c r="DA35" s="422"/>
      <c r="DB35" s="422"/>
      <c r="DC35" s="422"/>
      <c r="DD35" s="422"/>
      <c r="DE35" s="422"/>
      <c r="DF35" s="422"/>
      <c r="DG35" s="422"/>
      <c r="DH35" s="422"/>
      <c r="DI35" s="422"/>
      <c r="DJ35" s="422"/>
      <c r="DK35" s="422"/>
      <c r="DL35" s="422"/>
      <c r="DM35" s="422"/>
      <c r="DN35" s="422"/>
      <c r="DO35" s="422"/>
      <c r="DP35" s="422"/>
      <c r="DQ35" s="422"/>
      <c r="DR35" s="422"/>
      <c r="DS35" s="422"/>
      <c r="DT35" s="422"/>
      <c r="DU35" s="422"/>
      <c r="DV35" s="422"/>
      <c r="DW35" s="422"/>
      <c r="DX35" s="422"/>
      <c r="DY35" s="422"/>
      <c r="DZ35" s="422"/>
      <c r="EA35" s="422"/>
      <c r="EB35" s="422"/>
      <c r="EC35" s="422"/>
      <c r="ED35" s="422"/>
      <c r="EE35" s="422"/>
      <c r="EF35" s="422"/>
      <c r="EG35" s="422"/>
      <c r="EH35" s="422"/>
      <c r="EI35" s="422"/>
      <c r="EJ35" s="422"/>
      <c r="EK35" s="422"/>
      <c r="EL35" s="422"/>
      <c r="EM35" s="422"/>
      <c r="EN35" s="422"/>
      <c r="EO35" s="422"/>
      <c r="EP35" s="422"/>
      <c r="EQ35" s="422"/>
      <c r="ER35" s="422"/>
      <c r="ES35" s="422"/>
      <c r="ET35" s="422"/>
      <c r="EU35" s="422"/>
      <c r="EV35" s="422"/>
      <c r="EW35" s="422"/>
      <c r="EX35" s="422"/>
      <c r="EY35" s="422"/>
      <c r="EZ35" s="422"/>
      <c r="FA35" s="422"/>
      <c r="FB35" s="422"/>
      <c r="FC35" s="422"/>
      <c r="FD35" s="422"/>
      <c r="FE35" s="422"/>
      <c r="FF35" s="422"/>
      <c r="FG35" s="422"/>
      <c r="FH35" s="422"/>
      <c r="FI35" s="422"/>
      <c r="FJ35" s="422"/>
      <c r="FK35" s="422"/>
      <c r="FL35" s="422"/>
      <c r="FM35" s="422"/>
      <c r="FN35" s="422"/>
      <c r="FO35" s="422"/>
      <c r="FP35" s="422"/>
      <c r="FQ35" s="422"/>
      <c r="FR35" s="422"/>
      <c r="FS35" s="422"/>
      <c r="FT35" s="422"/>
      <c r="FU35" s="422"/>
      <c r="FV35" s="422"/>
      <c r="FW35" s="422"/>
      <c r="FX35" s="422"/>
      <c r="FY35" s="422"/>
      <c r="FZ35" s="422"/>
      <c r="GA35" s="422"/>
      <c r="GB35" s="422"/>
      <c r="GC35" s="422"/>
      <c r="GD35" s="422"/>
      <c r="GE35" s="422"/>
      <c r="GF35" s="422"/>
      <c r="GG35" s="422"/>
      <c r="GH35" s="422"/>
      <c r="GI35" s="422"/>
      <c r="GJ35" s="422"/>
      <c r="GK35" s="422"/>
      <c r="GL35" s="422"/>
      <c r="GM35" s="422"/>
    </row>
    <row r="36" spans="1:195" s="32" customFormat="1" x14ac:dyDescent="0.25">
      <c r="A36" s="52" t="str">
        <f>IF(COUNTBLANK(B36)=1," ",COUNTA($B$12:B36))</f>
        <v xml:space="preserve"> </v>
      </c>
      <c r="B36" s="268"/>
      <c r="C36" s="423" t="s">
        <v>429</v>
      </c>
      <c r="D36" s="300" t="s">
        <v>26</v>
      </c>
      <c r="E36" s="290">
        <f>ROUNDUP(E35*F36,2)</f>
        <v>0.84</v>
      </c>
      <c r="F36" s="291">
        <v>0.15</v>
      </c>
      <c r="G36" s="136"/>
      <c r="H36" s="136"/>
      <c r="I36" s="136"/>
      <c r="J36" s="136"/>
      <c r="K36" s="136"/>
      <c r="L36" s="305"/>
      <c r="M36" s="275"/>
      <c r="N36" s="275"/>
      <c r="O36" s="275"/>
      <c r="P36" s="275"/>
      <c r="Q36" s="275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22"/>
      <c r="BD36" s="422"/>
      <c r="BE36" s="422"/>
      <c r="BF36" s="422"/>
      <c r="BG36" s="422"/>
      <c r="BH36" s="422"/>
      <c r="BI36" s="422"/>
      <c r="BJ36" s="422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422"/>
      <c r="CE36" s="422"/>
      <c r="CF36" s="422"/>
      <c r="CG36" s="422"/>
      <c r="CH36" s="422"/>
      <c r="CI36" s="422"/>
      <c r="CJ36" s="422"/>
      <c r="CK36" s="422"/>
      <c r="CL36" s="422"/>
      <c r="CM36" s="422"/>
      <c r="CN36" s="422"/>
      <c r="CO36" s="422"/>
      <c r="CP36" s="422"/>
      <c r="CQ36" s="422"/>
      <c r="CR36" s="422"/>
      <c r="CS36" s="422"/>
      <c r="CT36" s="422"/>
      <c r="CU36" s="422"/>
      <c r="CV36" s="422"/>
      <c r="CW36" s="422"/>
      <c r="CX36" s="422"/>
      <c r="CY36" s="422"/>
      <c r="CZ36" s="422"/>
      <c r="DA36" s="422"/>
      <c r="DB36" s="422"/>
      <c r="DC36" s="422"/>
      <c r="DD36" s="422"/>
      <c r="DE36" s="422"/>
      <c r="DF36" s="422"/>
      <c r="DG36" s="422"/>
      <c r="DH36" s="422"/>
      <c r="DI36" s="422"/>
      <c r="DJ36" s="422"/>
      <c r="DK36" s="422"/>
      <c r="DL36" s="422"/>
      <c r="DM36" s="422"/>
      <c r="DN36" s="422"/>
      <c r="DO36" s="422"/>
      <c r="DP36" s="422"/>
      <c r="DQ36" s="422"/>
      <c r="DR36" s="422"/>
      <c r="DS36" s="422"/>
      <c r="DT36" s="422"/>
      <c r="DU36" s="422"/>
      <c r="DV36" s="422"/>
      <c r="DW36" s="422"/>
      <c r="DX36" s="422"/>
      <c r="DY36" s="422"/>
      <c r="DZ36" s="422"/>
      <c r="EA36" s="422"/>
      <c r="EB36" s="422"/>
      <c r="EC36" s="422"/>
      <c r="ED36" s="422"/>
      <c r="EE36" s="422"/>
      <c r="EF36" s="422"/>
      <c r="EG36" s="422"/>
      <c r="EH36" s="422"/>
      <c r="EI36" s="422"/>
      <c r="EJ36" s="422"/>
      <c r="EK36" s="422"/>
      <c r="EL36" s="422"/>
      <c r="EM36" s="422"/>
      <c r="EN36" s="422"/>
      <c r="EO36" s="422"/>
      <c r="EP36" s="422"/>
      <c r="EQ36" s="422"/>
      <c r="ER36" s="422"/>
      <c r="ES36" s="422"/>
      <c r="ET36" s="422"/>
      <c r="EU36" s="422"/>
      <c r="EV36" s="422"/>
      <c r="EW36" s="422"/>
      <c r="EX36" s="422"/>
      <c r="EY36" s="422"/>
      <c r="EZ36" s="422"/>
      <c r="FA36" s="422"/>
      <c r="FB36" s="422"/>
      <c r="FC36" s="422"/>
      <c r="FD36" s="422"/>
      <c r="FE36" s="422"/>
      <c r="FF36" s="422"/>
      <c r="FG36" s="422"/>
      <c r="FH36" s="422"/>
      <c r="FI36" s="422"/>
      <c r="FJ36" s="422"/>
      <c r="FK36" s="422"/>
      <c r="FL36" s="422"/>
      <c r="FM36" s="422"/>
      <c r="FN36" s="422"/>
      <c r="FO36" s="422"/>
      <c r="FP36" s="422"/>
      <c r="FQ36" s="422"/>
      <c r="FR36" s="422"/>
      <c r="FS36" s="422"/>
      <c r="FT36" s="422"/>
      <c r="FU36" s="422"/>
      <c r="FV36" s="422"/>
      <c r="FW36" s="422"/>
      <c r="FX36" s="422"/>
      <c r="FY36" s="422"/>
      <c r="FZ36" s="422"/>
      <c r="GA36" s="422"/>
      <c r="GB36" s="422"/>
      <c r="GC36" s="422"/>
      <c r="GD36" s="422"/>
      <c r="GE36" s="422"/>
      <c r="GF36" s="422"/>
      <c r="GG36" s="422"/>
      <c r="GH36" s="422"/>
      <c r="GI36" s="422"/>
      <c r="GJ36" s="422"/>
      <c r="GK36" s="422"/>
      <c r="GL36" s="422"/>
      <c r="GM36" s="422"/>
    </row>
    <row r="37" spans="1:195" s="32" customFormat="1" x14ac:dyDescent="0.25">
      <c r="A37" s="52" t="str">
        <f>IF(COUNTBLANK(B37)=1," ",COUNTA($B$12:B37))</f>
        <v xml:space="preserve"> </v>
      </c>
      <c r="B37" s="268"/>
      <c r="C37" s="423" t="s">
        <v>430</v>
      </c>
      <c r="D37" s="300" t="s">
        <v>26</v>
      </c>
      <c r="E37" s="290">
        <f>ROUNDUP(E35*F37,2)</f>
        <v>5.16</v>
      </c>
      <c r="F37" s="291">
        <v>0.93</v>
      </c>
      <c r="G37" s="136"/>
      <c r="H37" s="136"/>
      <c r="I37" s="136"/>
      <c r="J37" s="136"/>
      <c r="K37" s="136"/>
      <c r="L37" s="305"/>
      <c r="M37" s="275"/>
      <c r="N37" s="275"/>
      <c r="O37" s="275"/>
      <c r="P37" s="275"/>
      <c r="Q37" s="275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  <c r="AM37" s="424"/>
      <c r="AN37" s="424"/>
      <c r="AO37" s="424"/>
      <c r="AP37" s="424"/>
      <c r="AQ37" s="424"/>
      <c r="AR37" s="424"/>
      <c r="AS37" s="424"/>
      <c r="AT37" s="424"/>
      <c r="AU37" s="424"/>
      <c r="AV37" s="424"/>
      <c r="AW37" s="424"/>
      <c r="AX37" s="424"/>
      <c r="AY37" s="424"/>
      <c r="AZ37" s="424"/>
      <c r="BA37" s="424"/>
      <c r="BB37" s="424"/>
      <c r="BC37" s="424"/>
      <c r="BD37" s="424"/>
      <c r="BE37" s="424"/>
      <c r="BF37" s="424"/>
      <c r="BG37" s="424"/>
      <c r="BH37" s="424"/>
      <c r="BI37" s="424"/>
      <c r="BJ37" s="424"/>
      <c r="BK37" s="424"/>
      <c r="BL37" s="424"/>
      <c r="BM37" s="424"/>
      <c r="BN37" s="424"/>
      <c r="BO37" s="424"/>
      <c r="BP37" s="424"/>
      <c r="BQ37" s="424"/>
      <c r="BR37" s="424"/>
      <c r="BS37" s="424"/>
      <c r="BT37" s="424"/>
      <c r="BU37" s="424"/>
      <c r="BV37" s="424"/>
      <c r="BW37" s="424"/>
      <c r="BX37" s="424"/>
      <c r="BY37" s="424"/>
      <c r="BZ37" s="424"/>
      <c r="CA37" s="424"/>
      <c r="CB37" s="424"/>
      <c r="CC37" s="424"/>
      <c r="CD37" s="424"/>
      <c r="CE37" s="424"/>
      <c r="CF37" s="424"/>
      <c r="CG37" s="424"/>
      <c r="CH37" s="424"/>
      <c r="CI37" s="424"/>
      <c r="CJ37" s="424"/>
      <c r="CK37" s="424"/>
      <c r="CL37" s="424"/>
      <c r="CM37" s="424"/>
      <c r="CN37" s="424"/>
      <c r="CO37" s="424"/>
      <c r="CP37" s="424"/>
      <c r="CQ37" s="424"/>
      <c r="CR37" s="424"/>
      <c r="CS37" s="424"/>
      <c r="CT37" s="424"/>
      <c r="CU37" s="424"/>
      <c r="CV37" s="424"/>
      <c r="CW37" s="424"/>
      <c r="CX37" s="424"/>
      <c r="CY37" s="424"/>
      <c r="CZ37" s="424"/>
      <c r="DA37" s="424"/>
      <c r="DB37" s="424"/>
      <c r="DC37" s="424"/>
      <c r="DD37" s="424"/>
      <c r="DE37" s="424"/>
      <c r="DF37" s="424"/>
      <c r="DG37" s="424"/>
      <c r="DH37" s="424"/>
      <c r="DI37" s="424"/>
      <c r="DJ37" s="424"/>
      <c r="DK37" s="424"/>
      <c r="DL37" s="424"/>
      <c r="DM37" s="424"/>
      <c r="DN37" s="424"/>
      <c r="DO37" s="424"/>
      <c r="DP37" s="424"/>
      <c r="DQ37" s="424"/>
      <c r="DR37" s="424"/>
      <c r="DS37" s="424"/>
      <c r="DT37" s="424"/>
      <c r="DU37" s="424"/>
      <c r="DV37" s="424"/>
      <c r="DW37" s="424"/>
      <c r="DX37" s="424"/>
      <c r="DY37" s="424"/>
      <c r="DZ37" s="424"/>
      <c r="EA37" s="424"/>
      <c r="EB37" s="424"/>
      <c r="EC37" s="424"/>
      <c r="ED37" s="424"/>
      <c r="EE37" s="424"/>
      <c r="EF37" s="424"/>
      <c r="EG37" s="424"/>
      <c r="EH37" s="424"/>
      <c r="EI37" s="424"/>
      <c r="EJ37" s="424"/>
      <c r="EK37" s="424"/>
      <c r="EL37" s="424"/>
      <c r="EM37" s="424"/>
      <c r="EN37" s="424"/>
      <c r="EO37" s="424"/>
      <c r="EP37" s="424"/>
      <c r="EQ37" s="424"/>
      <c r="ER37" s="424"/>
      <c r="ES37" s="424"/>
      <c r="ET37" s="424"/>
      <c r="EU37" s="424"/>
      <c r="EV37" s="424"/>
      <c r="EW37" s="424"/>
      <c r="EX37" s="424"/>
      <c r="EY37" s="424"/>
      <c r="EZ37" s="424"/>
      <c r="FA37" s="424"/>
      <c r="FB37" s="424"/>
      <c r="FC37" s="424"/>
      <c r="FD37" s="424"/>
      <c r="FE37" s="424"/>
      <c r="FF37" s="424"/>
      <c r="FG37" s="424"/>
      <c r="FH37" s="424"/>
      <c r="FI37" s="424"/>
      <c r="FJ37" s="424"/>
      <c r="FK37" s="424"/>
      <c r="FL37" s="424"/>
      <c r="FM37" s="424"/>
      <c r="FN37" s="424"/>
      <c r="FO37" s="424"/>
      <c r="FP37" s="424"/>
      <c r="FQ37" s="424"/>
      <c r="FR37" s="424"/>
      <c r="FS37" s="424"/>
      <c r="FT37" s="424"/>
      <c r="FU37" s="424"/>
      <c r="FV37" s="424"/>
      <c r="FW37" s="424"/>
      <c r="FX37" s="424"/>
      <c r="FY37" s="424"/>
      <c r="FZ37" s="424"/>
      <c r="GA37" s="424"/>
      <c r="GB37" s="424"/>
      <c r="GC37" s="424"/>
      <c r="GD37" s="424"/>
      <c r="GE37" s="424"/>
      <c r="GF37" s="424"/>
      <c r="GG37" s="424"/>
      <c r="GH37" s="424"/>
      <c r="GI37" s="424"/>
      <c r="GJ37" s="424"/>
      <c r="GK37" s="424"/>
      <c r="GL37" s="424"/>
      <c r="GM37" s="424"/>
    </row>
    <row r="38" spans="1:195" s="32" customFormat="1" x14ac:dyDescent="0.25">
      <c r="A38" s="52" t="str">
        <f>IF(COUNTBLANK(B38)=1," ",COUNTA($B$12:B38))</f>
        <v xml:space="preserve"> </v>
      </c>
      <c r="B38" s="268"/>
      <c r="C38" s="423" t="s">
        <v>38</v>
      </c>
      <c r="D38" s="268" t="s">
        <v>211</v>
      </c>
      <c r="E38" s="290">
        <f>ROUNDUP(E35*F38,0)</f>
        <v>2</v>
      </c>
      <c r="F38" s="291">
        <v>0.25</v>
      </c>
      <c r="G38" s="136"/>
      <c r="H38" s="136"/>
      <c r="I38" s="136"/>
      <c r="J38" s="136"/>
      <c r="K38" s="136"/>
      <c r="L38" s="305"/>
      <c r="M38" s="275"/>
      <c r="N38" s="275"/>
      <c r="O38" s="275"/>
      <c r="P38" s="275"/>
      <c r="Q38" s="275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</row>
    <row r="39" spans="1:195" s="144" customFormat="1" ht="22.5" x14ac:dyDescent="0.25">
      <c r="A39" s="52">
        <f>IF(COUNTBLANK(B39)=1," ",COUNTA($B$12:B39))</f>
        <v>12</v>
      </c>
      <c r="B39" s="288" t="s">
        <v>14</v>
      </c>
      <c r="C39" s="684" t="s">
        <v>274</v>
      </c>
      <c r="D39" s="638" t="s">
        <v>17</v>
      </c>
      <c r="E39" s="638">
        <v>23</v>
      </c>
      <c r="F39" s="211"/>
      <c r="G39" s="60"/>
      <c r="H39" s="271"/>
      <c r="I39" s="15"/>
      <c r="J39" s="15"/>
      <c r="K39" s="60"/>
      <c r="L39" s="305"/>
      <c r="M39" s="275"/>
      <c r="N39" s="275"/>
      <c r="O39" s="275"/>
      <c r="P39" s="275"/>
      <c r="Q39" s="275"/>
    </row>
    <row r="40" spans="1:195" s="94" customFormat="1" ht="12.75" x14ac:dyDescent="0.25">
      <c r="A40" s="52" t="str">
        <f>IF(COUNTBLANK(B40)=1," ",COUNTA($B$12:B40))</f>
        <v xml:space="preserve"> </v>
      </c>
      <c r="B40" s="210"/>
      <c r="C40" s="327" t="s">
        <v>435</v>
      </c>
      <c r="D40" s="210" t="s">
        <v>23</v>
      </c>
      <c r="E40" s="420">
        <f>E39*F40</f>
        <v>27.599999999999998</v>
      </c>
      <c r="F40" s="211">
        <v>1.2</v>
      </c>
      <c r="G40" s="671"/>
      <c r="H40" s="671"/>
      <c r="I40" s="671"/>
      <c r="J40" s="127"/>
      <c r="K40" s="671"/>
      <c r="L40" s="305"/>
      <c r="M40" s="275"/>
      <c r="N40" s="275"/>
      <c r="O40" s="275"/>
      <c r="P40" s="275"/>
      <c r="Q40" s="275"/>
    </row>
    <row r="41" spans="1:195" s="140" customFormat="1" x14ac:dyDescent="0.25">
      <c r="A41" s="52" t="str">
        <f>IF(COUNTBLANK(B41)=1," ",COUNTA($B$12:B41))</f>
        <v xml:space="preserve"> </v>
      </c>
      <c r="B41" s="210"/>
      <c r="C41" s="327" t="s">
        <v>39</v>
      </c>
      <c r="D41" s="210" t="s">
        <v>23</v>
      </c>
      <c r="E41" s="209">
        <f>ROUNDUP(E39*F41,0)</f>
        <v>14</v>
      </c>
      <c r="F41" s="211">
        <v>0.6</v>
      </c>
      <c r="G41" s="211"/>
      <c r="H41" s="435"/>
      <c r="I41" s="211"/>
      <c r="J41" s="211"/>
      <c r="K41" s="211"/>
      <c r="L41" s="305"/>
      <c r="M41" s="275"/>
      <c r="N41" s="275"/>
      <c r="O41" s="275"/>
      <c r="P41" s="275"/>
      <c r="Q41" s="275"/>
    </row>
    <row r="42" spans="1:195" s="32" customFormat="1" ht="22.5" x14ac:dyDescent="0.25">
      <c r="A42" s="52">
        <f>IF(COUNTBLANK(B42)=1," ",COUNTA($B$12:B42))</f>
        <v>13</v>
      </c>
      <c r="B42" s="288" t="s">
        <v>14</v>
      </c>
      <c r="C42" s="685" t="s">
        <v>275</v>
      </c>
      <c r="D42" s="638" t="s">
        <v>32</v>
      </c>
      <c r="E42" s="638">
        <v>27</v>
      </c>
      <c r="F42" s="145"/>
      <c r="G42" s="60"/>
      <c r="H42" s="271"/>
      <c r="I42" s="60"/>
      <c r="J42" s="12"/>
      <c r="K42" s="60"/>
      <c r="L42" s="305"/>
      <c r="M42" s="275"/>
      <c r="N42" s="275"/>
      <c r="O42" s="275"/>
      <c r="P42" s="275"/>
      <c r="Q42" s="275"/>
    </row>
    <row r="43" spans="1:195" s="32" customFormat="1" ht="22.5" x14ac:dyDescent="0.25">
      <c r="A43" s="52" t="str">
        <f>IF(COUNTBLANK(B43)=1," ",COUNTA($B$12:B43))</f>
        <v xml:space="preserve"> </v>
      </c>
      <c r="B43" s="676"/>
      <c r="C43" s="684" t="s">
        <v>414</v>
      </c>
      <c r="D43" s="638" t="s">
        <v>23</v>
      </c>
      <c r="E43" s="673">
        <f>0.004*0.04*26*7800</f>
        <v>32.448</v>
      </c>
      <c r="F43" s="145"/>
      <c r="G43" s="33"/>
      <c r="H43" s="33"/>
      <c r="I43" s="33"/>
      <c r="J43" s="33"/>
      <c r="K43" s="33"/>
      <c r="L43" s="305"/>
      <c r="M43" s="275"/>
      <c r="N43" s="275"/>
      <c r="O43" s="275"/>
      <c r="P43" s="275"/>
      <c r="Q43" s="275"/>
    </row>
    <row r="44" spans="1:195" s="32" customFormat="1" ht="22.5" x14ac:dyDescent="0.25">
      <c r="A44" s="52" t="str">
        <f>IF(COUNTBLANK(B44)=1," ",COUNTA($B$12:B44))</f>
        <v xml:space="preserve"> </v>
      </c>
      <c r="B44" s="686"/>
      <c r="C44" s="684" t="s">
        <v>415</v>
      </c>
      <c r="D44" s="638" t="s">
        <v>23</v>
      </c>
      <c r="E44" s="673">
        <f>0.004*0.04*24.7*7800</f>
        <v>30.825599999999998</v>
      </c>
      <c r="F44" s="145"/>
      <c r="G44" s="33"/>
      <c r="H44" s="33"/>
      <c r="I44" s="33"/>
      <c r="J44" s="33"/>
      <c r="K44" s="33"/>
      <c r="L44" s="305"/>
      <c r="M44" s="275"/>
      <c r="N44" s="275"/>
      <c r="O44" s="275"/>
      <c r="P44" s="275"/>
      <c r="Q44" s="275"/>
    </row>
    <row r="45" spans="1:195" s="32" customFormat="1" x14ac:dyDescent="0.25">
      <c r="A45" s="52" t="str">
        <f>IF(COUNTBLANK(B45)=1," ",COUNTA($B$12:B45))</f>
        <v xml:space="preserve"> </v>
      </c>
      <c r="B45" s="686"/>
      <c r="C45" s="54" t="s">
        <v>278</v>
      </c>
      <c r="D45" s="377" t="s">
        <v>32</v>
      </c>
      <c r="E45" s="377">
        <v>104</v>
      </c>
      <c r="F45" s="145"/>
      <c r="G45" s="33"/>
      <c r="H45" s="33"/>
      <c r="I45" s="33"/>
      <c r="J45" s="33"/>
      <c r="K45" s="33"/>
      <c r="L45" s="305"/>
      <c r="M45" s="275"/>
      <c r="N45" s="275"/>
      <c r="O45" s="275"/>
      <c r="P45" s="275"/>
      <c r="Q45" s="275"/>
    </row>
    <row r="46" spans="1:195" s="32" customFormat="1" x14ac:dyDescent="0.25">
      <c r="A46" s="52" t="str">
        <f>IF(COUNTBLANK(B46)=1," ",COUNTA($B$12:B46))</f>
        <v xml:space="preserve"> </v>
      </c>
      <c r="B46" s="686"/>
      <c r="C46" s="54" t="s">
        <v>279</v>
      </c>
      <c r="D46" s="377" t="s">
        <v>17</v>
      </c>
      <c r="E46" s="53">
        <f>0.7*13</f>
        <v>9.1</v>
      </c>
      <c r="F46" s="145"/>
      <c r="G46" s="33"/>
      <c r="H46" s="33"/>
      <c r="I46" s="33"/>
      <c r="J46" s="33"/>
      <c r="K46" s="33"/>
      <c r="L46" s="305"/>
      <c r="M46" s="275"/>
      <c r="N46" s="275"/>
      <c r="O46" s="275"/>
      <c r="P46" s="275"/>
      <c r="Q46" s="275"/>
    </row>
    <row r="47" spans="1:195" s="32" customFormat="1" ht="22.5" x14ac:dyDescent="0.25">
      <c r="A47" s="52">
        <f>IF(COUNTBLANK(B47)=1," ",COUNTA($B$12:B47))</f>
        <v>14</v>
      </c>
      <c r="B47" s="288" t="s">
        <v>14</v>
      </c>
      <c r="C47" s="54" t="s">
        <v>280</v>
      </c>
      <c r="D47" s="377" t="s">
        <v>17</v>
      </c>
      <c r="E47" s="53">
        <v>4.0999999999999996</v>
      </c>
      <c r="F47" s="145"/>
      <c r="G47" s="312"/>
      <c r="H47" s="271"/>
      <c r="I47" s="312"/>
      <c r="J47" s="312"/>
      <c r="K47" s="312"/>
      <c r="L47" s="305"/>
      <c r="M47" s="275"/>
      <c r="N47" s="275"/>
      <c r="O47" s="275"/>
      <c r="P47" s="275"/>
      <c r="Q47" s="275"/>
    </row>
    <row r="48" spans="1:195" s="32" customFormat="1" ht="22.5" x14ac:dyDescent="0.25">
      <c r="A48" s="52" t="str">
        <f>IF(COUNTBLANK(B48)=1," ",COUNTA($B$12:B48))</f>
        <v xml:space="preserve"> </v>
      </c>
      <c r="B48" s="743"/>
      <c r="C48" s="679" t="s">
        <v>281</v>
      </c>
      <c r="D48" s="377"/>
      <c r="E48" s="53"/>
      <c r="F48" s="145"/>
      <c r="G48" s="33"/>
      <c r="H48" s="33"/>
      <c r="I48" s="33"/>
      <c r="J48" s="33"/>
      <c r="K48" s="33"/>
      <c r="L48" s="305"/>
      <c r="M48" s="275"/>
      <c r="N48" s="275"/>
      <c r="O48" s="275"/>
      <c r="P48" s="275"/>
      <c r="Q48" s="275"/>
    </row>
    <row r="49" spans="1:17" s="32" customFormat="1" ht="22.5" x14ac:dyDescent="0.25">
      <c r="A49" s="52">
        <f>IF(COUNTBLANK(B49)=1," ",COUNTA($B$12:B49))</f>
        <v>15</v>
      </c>
      <c r="B49" s="288" t="s">
        <v>14</v>
      </c>
      <c r="C49" s="54" t="s">
        <v>282</v>
      </c>
      <c r="D49" s="377" t="s">
        <v>16</v>
      </c>
      <c r="E49" s="53">
        <v>24.5</v>
      </c>
      <c r="F49" s="145"/>
      <c r="G49" s="136"/>
      <c r="H49" s="271"/>
      <c r="I49" s="436"/>
      <c r="J49" s="306"/>
      <c r="K49" s="136"/>
      <c r="L49" s="305"/>
      <c r="M49" s="275"/>
      <c r="N49" s="275"/>
      <c r="O49" s="275"/>
      <c r="P49" s="275"/>
      <c r="Q49" s="275"/>
    </row>
    <row r="50" spans="1:17" s="32" customFormat="1" ht="22.5" x14ac:dyDescent="0.25">
      <c r="A50" s="52">
        <f>IF(COUNTBLANK(B50)=1," ",COUNTA($B$12:B50))</f>
        <v>16</v>
      </c>
      <c r="B50" s="288" t="s">
        <v>14</v>
      </c>
      <c r="C50" s="54" t="s">
        <v>283</v>
      </c>
      <c r="D50" s="377" t="s">
        <v>17</v>
      </c>
      <c r="E50" s="53">
        <v>7.4</v>
      </c>
      <c r="F50" s="145"/>
      <c r="G50" s="136"/>
      <c r="H50" s="271"/>
      <c r="I50" s="436"/>
      <c r="J50" s="306"/>
      <c r="K50" s="136"/>
      <c r="L50" s="305"/>
      <c r="M50" s="275"/>
      <c r="N50" s="275"/>
      <c r="O50" s="275"/>
      <c r="P50" s="275"/>
      <c r="Q50" s="275"/>
    </row>
    <row r="51" spans="1:17" s="32" customFormat="1" ht="22.5" x14ac:dyDescent="0.25">
      <c r="A51" s="52">
        <f>IF(COUNTBLANK(B51)=1," ",COUNTA($B$12:B51))</f>
        <v>17</v>
      </c>
      <c r="B51" s="288" t="s">
        <v>14</v>
      </c>
      <c r="C51" s="54" t="s">
        <v>284</v>
      </c>
      <c r="D51" s="377" t="s">
        <v>16</v>
      </c>
      <c r="E51" s="53">
        <v>24.5</v>
      </c>
      <c r="F51" s="145"/>
      <c r="G51" s="136"/>
      <c r="H51" s="271"/>
      <c r="I51" s="436"/>
      <c r="J51" s="306"/>
      <c r="K51" s="136"/>
      <c r="L51" s="305"/>
      <c r="M51" s="275"/>
      <c r="N51" s="275"/>
      <c r="O51" s="275"/>
      <c r="P51" s="275"/>
      <c r="Q51" s="275"/>
    </row>
    <row r="52" spans="1:17" s="32" customFormat="1" ht="22.5" x14ac:dyDescent="0.25">
      <c r="A52" s="52">
        <f>IF(COUNTBLANK(B52)=1," ",COUNTA($B$12:B52))</f>
        <v>18</v>
      </c>
      <c r="B52" s="288" t="s">
        <v>14</v>
      </c>
      <c r="C52" s="679" t="s">
        <v>416</v>
      </c>
      <c r="D52" s="210" t="s">
        <v>289</v>
      </c>
      <c r="E52" s="420">
        <v>0.3</v>
      </c>
      <c r="F52" s="145"/>
      <c r="G52" s="34"/>
      <c r="H52" s="271"/>
      <c r="I52" s="34"/>
      <c r="J52" s="55"/>
      <c r="K52" s="34"/>
      <c r="L52" s="305"/>
      <c r="M52" s="275"/>
      <c r="N52" s="275"/>
      <c r="O52" s="275"/>
      <c r="P52" s="275"/>
      <c r="Q52" s="275"/>
    </row>
    <row r="53" spans="1:17" s="32" customFormat="1" x14ac:dyDescent="0.25">
      <c r="A53" s="52" t="str">
        <f>IF(COUNTBLANK(B53)=1," ",COUNTA($B$12:B53))</f>
        <v xml:space="preserve"> </v>
      </c>
      <c r="B53" s="19"/>
      <c r="C53" s="391" t="s">
        <v>286</v>
      </c>
      <c r="D53" s="210" t="s">
        <v>32</v>
      </c>
      <c r="E53" s="660">
        <v>12</v>
      </c>
      <c r="F53" s="145"/>
      <c r="G53" s="136"/>
      <c r="H53" s="269"/>
      <c r="I53" s="436"/>
      <c r="J53" s="306"/>
      <c r="K53" s="136"/>
      <c r="L53" s="305"/>
      <c r="M53" s="275"/>
      <c r="N53" s="275"/>
      <c r="O53" s="275"/>
      <c r="P53" s="275"/>
      <c r="Q53" s="275"/>
    </row>
    <row r="54" spans="1:17" s="32" customFormat="1" x14ac:dyDescent="0.25">
      <c r="A54" s="52" t="str">
        <f>IF(COUNTBLANK(B54)=1," ",COUNTA($B$12:B54))</f>
        <v xml:space="preserve"> </v>
      </c>
      <c r="B54" s="19"/>
      <c r="C54" s="391" t="s">
        <v>287</v>
      </c>
      <c r="D54" s="210" t="s">
        <v>32</v>
      </c>
      <c r="E54" s="660">
        <v>2</v>
      </c>
      <c r="F54" s="145"/>
      <c r="G54" s="136"/>
      <c r="H54" s="269"/>
      <c r="I54" s="436"/>
      <c r="J54" s="306"/>
      <c r="K54" s="136"/>
      <c r="L54" s="305"/>
      <c r="M54" s="275"/>
      <c r="N54" s="275"/>
      <c r="O54" s="275"/>
      <c r="P54" s="275"/>
      <c r="Q54" s="275"/>
    </row>
    <row r="55" spans="1:17" s="32" customFormat="1" x14ac:dyDescent="0.25">
      <c r="A55" s="52" t="str">
        <f>IF(COUNTBLANK(B55)=1," ",COUNTA($B$12:B55))</f>
        <v xml:space="preserve"> </v>
      </c>
      <c r="B55" s="19"/>
      <c r="C55" s="391" t="s">
        <v>288</v>
      </c>
      <c r="D55" s="210" t="s">
        <v>289</v>
      </c>
      <c r="E55" s="420">
        <v>0.3</v>
      </c>
      <c r="F55" s="145"/>
      <c r="G55" s="34"/>
      <c r="H55" s="269"/>
      <c r="I55" s="34"/>
      <c r="J55" s="55"/>
      <c r="K55" s="34"/>
      <c r="L55" s="305"/>
      <c r="M55" s="275"/>
      <c r="N55" s="275"/>
      <c r="O55" s="275"/>
      <c r="P55" s="275"/>
      <c r="Q55" s="275"/>
    </row>
    <row r="56" spans="1:17" s="32" customFormat="1" x14ac:dyDescent="0.25">
      <c r="A56" s="52" t="str">
        <f>IF(COUNTBLANK(B56)=1," ",COUNTA($B$12:B56))</f>
        <v xml:space="preserve"> </v>
      </c>
      <c r="B56" s="19"/>
      <c r="C56" s="391" t="s">
        <v>290</v>
      </c>
      <c r="D56" s="210" t="s">
        <v>32</v>
      </c>
      <c r="E56" s="660">
        <v>12</v>
      </c>
      <c r="F56" s="145"/>
      <c r="G56" s="136"/>
      <c r="H56" s="269"/>
      <c r="I56" s="436"/>
      <c r="J56" s="306"/>
      <c r="K56" s="136"/>
      <c r="L56" s="305"/>
      <c r="M56" s="275"/>
      <c r="N56" s="275"/>
      <c r="O56" s="275"/>
      <c r="P56" s="275"/>
      <c r="Q56" s="275"/>
    </row>
    <row r="57" spans="1:17" s="32" customFormat="1" x14ac:dyDescent="0.25">
      <c r="A57" s="52" t="str">
        <f>IF(COUNTBLANK(B57)=1," ",COUNTA($B$12:B57))</f>
        <v xml:space="preserve"> </v>
      </c>
      <c r="B57" s="19"/>
      <c r="C57" s="391" t="s">
        <v>291</v>
      </c>
      <c r="D57" s="210" t="s">
        <v>32</v>
      </c>
      <c r="E57" s="660">
        <v>2</v>
      </c>
      <c r="F57" s="145"/>
      <c r="G57" s="136"/>
      <c r="H57" s="269"/>
      <c r="I57" s="436"/>
      <c r="J57" s="306"/>
      <c r="K57" s="136"/>
      <c r="L57" s="305"/>
      <c r="M57" s="275"/>
      <c r="N57" s="275"/>
      <c r="O57" s="275"/>
      <c r="P57" s="275"/>
      <c r="Q57" s="275"/>
    </row>
    <row r="58" spans="1:17" s="32" customFormat="1" x14ac:dyDescent="0.25">
      <c r="A58" s="52" t="str">
        <f>IF(COUNTBLANK(B58)=1," ",COUNTA($B$12:B58))</f>
        <v xml:space="preserve"> </v>
      </c>
      <c r="B58" s="19"/>
      <c r="C58" s="391" t="s">
        <v>417</v>
      </c>
      <c r="D58" s="210" t="s">
        <v>23</v>
      </c>
      <c r="E58" s="420">
        <f>14.4*5.8</f>
        <v>83.52</v>
      </c>
      <c r="F58" s="145"/>
      <c r="G58" s="136"/>
      <c r="H58" s="269"/>
      <c r="I58" s="436"/>
      <c r="J58" s="306"/>
      <c r="K58" s="136"/>
      <c r="L58" s="305"/>
      <c r="M58" s="275"/>
      <c r="N58" s="275"/>
      <c r="O58" s="275"/>
      <c r="P58" s="275"/>
      <c r="Q58" s="275"/>
    </row>
    <row r="59" spans="1:17" s="32" customFormat="1" x14ac:dyDescent="0.25">
      <c r="A59" s="52" t="str">
        <f>IF(COUNTBLANK(B59)=1," ",COUNTA($B$12:B59))</f>
        <v xml:space="preserve"> </v>
      </c>
      <c r="B59" s="19"/>
      <c r="C59" s="391" t="s">
        <v>293</v>
      </c>
      <c r="D59" s="210" t="s">
        <v>32</v>
      </c>
      <c r="E59" s="660">
        <v>96</v>
      </c>
      <c r="F59" s="145"/>
      <c r="G59" s="33"/>
      <c r="H59" s="33"/>
      <c r="I59" s="33"/>
      <c r="J59" s="33"/>
      <c r="K59" s="33"/>
      <c r="L59" s="305"/>
      <c r="M59" s="275"/>
      <c r="N59" s="275"/>
      <c r="O59" s="275"/>
      <c r="P59" s="275"/>
      <c r="Q59" s="275"/>
    </row>
    <row r="60" spans="1:17" s="32" customFormat="1" ht="22.5" x14ac:dyDescent="0.25">
      <c r="A60" s="52">
        <f>IF(COUNTBLANK(B60)=1," ",COUNTA($B$12:B60))</f>
        <v>19</v>
      </c>
      <c r="B60" s="288" t="s">
        <v>14</v>
      </c>
      <c r="C60" s="391" t="s">
        <v>294</v>
      </c>
      <c r="D60" s="210" t="s">
        <v>17</v>
      </c>
      <c r="E60" s="420">
        <v>5.4</v>
      </c>
      <c r="F60" s="145"/>
      <c r="G60" s="312"/>
      <c r="H60" s="271"/>
      <c r="I60" s="312"/>
      <c r="J60" s="60"/>
      <c r="K60" s="312"/>
      <c r="L60" s="305"/>
      <c r="M60" s="275"/>
      <c r="N60" s="275"/>
      <c r="O60" s="275"/>
      <c r="P60" s="275"/>
      <c r="Q60" s="275"/>
    </row>
    <row r="61" spans="1:17" s="32" customFormat="1" ht="22.5" x14ac:dyDescent="0.25">
      <c r="A61" s="52">
        <f>IF(COUNTBLANK(B61)=1," ",COUNTA($B$12:B61))</f>
        <v>20</v>
      </c>
      <c r="B61" s="288" t="s">
        <v>14</v>
      </c>
      <c r="C61" s="54" t="s">
        <v>881</v>
      </c>
      <c r="D61" s="743" t="s">
        <v>16</v>
      </c>
      <c r="E61" s="53">
        <v>19.5</v>
      </c>
      <c r="F61" s="145"/>
      <c r="G61" s="136"/>
      <c r="H61" s="271"/>
      <c r="I61" s="436"/>
      <c r="J61" s="306"/>
      <c r="K61" s="136"/>
      <c r="L61" s="305"/>
      <c r="M61" s="275"/>
      <c r="N61" s="275"/>
      <c r="O61" s="275"/>
      <c r="P61" s="275"/>
      <c r="Q61" s="275"/>
    </row>
    <row r="62" spans="1:17" s="32" customFormat="1" ht="22.5" x14ac:dyDescent="0.25">
      <c r="A62" s="52">
        <f>IF(COUNTBLANK(B62)=1," ",COUNTA($B$12:B62))</f>
        <v>21</v>
      </c>
      <c r="B62" s="288" t="s">
        <v>14</v>
      </c>
      <c r="C62" s="54" t="s">
        <v>295</v>
      </c>
      <c r="D62" s="743" t="s">
        <v>17</v>
      </c>
      <c r="E62" s="53">
        <v>2.2000000000000002</v>
      </c>
      <c r="F62" s="145"/>
      <c r="G62" s="136"/>
      <c r="H62" s="271"/>
      <c r="I62" s="436"/>
      <c r="J62" s="306"/>
      <c r="K62" s="136"/>
      <c r="L62" s="305"/>
      <c r="M62" s="275"/>
      <c r="N62" s="275"/>
      <c r="O62" s="275"/>
      <c r="P62" s="275"/>
      <c r="Q62" s="275"/>
    </row>
    <row r="63" spans="1:17" s="32" customFormat="1" ht="22.5" x14ac:dyDescent="0.25">
      <c r="A63" s="52" t="str">
        <f>IF(COUNTBLANK(B63)=1," ",COUNTA($B$12:B63))</f>
        <v xml:space="preserve"> </v>
      </c>
      <c r="B63" s="677"/>
      <c r="C63" s="54" t="s">
        <v>302</v>
      </c>
      <c r="D63" s="743"/>
      <c r="E63" s="53"/>
      <c r="F63" s="145"/>
      <c r="G63" s="33"/>
      <c r="H63" s="33"/>
      <c r="I63" s="33"/>
      <c r="J63" s="33"/>
      <c r="K63" s="33"/>
      <c r="L63" s="305"/>
      <c r="M63" s="275"/>
      <c r="N63" s="275"/>
      <c r="O63" s="275"/>
      <c r="P63" s="275"/>
      <c r="Q63" s="275"/>
    </row>
    <row r="64" spans="1:17" s="32" customFormat="1" x14ac:dyDescent="0.25">
      <c r="A64" s="413" t="str">
        <f>IF(COUNTBLANK(I77)=1," ",COUNTA($I$65:I77))</f>
        <v xml:space="preserve"> </v>
      </c>
      <c r="B64" s="388"/>
      <c r="C64" s="389"/>
      <c r="D64" s="388"/>
      <c r="E64" s="388"/>
      <c r="F64" s="390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</row>
    <row r="65" spans="1:17" s="56" customFormat="1" x14ac:dyDescent="0.25">
      <c r="A65" s="413" t="str">
        <f>IF(COUNTBLANK(I90)=1," ",COUNTA($I$65:I90))</f>
        <v xml:space="preserve"> </v>
      </c>
      <c r="B65" s="37"/>
      <c r="C65" s="217" t="s">
        <v>179</v>
      </c>
      <c r="D65" s="23"/>
      <c r="E65" s="162"/>
      <c r="F65" s="162"/>
      <c r="G65" s="17"/>
      <c r="H65" s="162"/>
      <c r="I65" s="17"/>
      <c r="J65" s="17"/>
      <c r="K65" s="17"/>
      <c r="L65" s="17"/>
      <c r="M65" s="20">
        <f>SUM(M13:M62)</f>
        <v>0</v>
      </c>
      <c r="N65" s="20">
        <f>SUM(N13:N62)</f>
        <v>0</v>
      </c>
      <c r="O65" s="20">
        <f>SUM(O13:O62)</f>
        <v>0</v>
      </c>
      <c r="P65" s="20">
        <f>SUM(P13:P62)</f>
        <v>0</v>
      </c>
      <c r="Q65" s="20">
        <f>SUM(Q13:Q62)</f>
        <v>0</v>
      </c>
    </row>
    <row r="66" spans="1:17" s="39" customFormat="1" x14ac:dyDescent="0.25">
      <c r="A66" s="413" t="str">
        <f>IF(COUNTBLANK(I92)=1," ",COUNTA($I$65:I92))</f>
        <v xml:space="preserve"> </v>
      </c>
      <c r="D66" s="94"/>
      <c r="E66" s="94"/>
      <c r="F66" s="94"/>
      <c r="G66" s="45"/>
      <c r="H66" s="100"/>
      <c r="I66" s="100"/>
      <c r="J66" s="100"/>
      <c r="K66" s="100"/>
      <c r="L66" s="100"/>
      <c r="M66" s="100"/>
      <c r="N66" s="100"/>
      <c r="O66" s="100"/>
      <c r="P66" s="100"/>
      <c r="Q66" s="100"/>
    </row>
    <row r="67" spans="1:17" s="45" customFormat="1" x14ac:dyDescent="0.25">
      <c r="A67" s="413" t="str">
        <f>IF(COUNTBLANK(I93)=1," ",COUNTA($I$65:I93))</f>
        <v xml:space="preserve"> </v>
      </c>
      <c r="B67" s="140" t="str">
        <f>sas</f>
        <v>Sastādīja:</v>
      </c>
      <c r="C67" s="140"/>
      <c r="D67" s="140"/>
      <c r="E67" s="140"/>
      <c r="F67" s="94"/>
      <c r="H67" s="100"/>
      <c r="I67" s="100"/>
      <c r="J67" s="100"/>
      <c r="K67" s="100"/>
      <c r="L67" s="100"/>
      <c r="M67" s="100"/>
      <c r="N67" s="100"/>
      <c r="O67" s="100"/>
      <c r="P67" s="100"/>
      <c r="Q67" s="100"/>
    </row>
    <row r="68" spans="1:17" s="45" customFormat="1" x14ac:dyDescent="0.25">
      <c r="A68" s="413" t="str">
        <f>IF(COUNTBLANK(I94)=1," ",COUNTA($I$65:I94))</f>
        <v xml:space="preserve"> </v>
      </c>
      <c r="B68" s="140"/>
      <c r="C68" s="358" t="s">
        <v>145</v>
      </c>
      <c r="D68" s="140"/>
      <c r="E68" s="140"/>
      <c r="F68" s="94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1:17" x14ac:dyDescent="0.25">
      <c r="A69" s="413" t="str">
        <f>IF(COUNTBLANK(I95)=1," ",COUNTA($I$65:I95))</f>
        <v xml:space="preserve"> </v>
      </c>
      <c r="B69" s="161"/>
      <c r="C69" s="161"/>
      <c r="D69" s="140"/>
      <c r="E69" s="140"/>
      <c r="F69" s="94"/>
    </row>
    <row r="70" spans="1:17" x14ac:dyDescent="0.25">
      <c r="A70" s="413" t="str">
        <f>IF(COUNTBLANK(I96)=1," ",COUNTA($I$65:I96))</f>
        <v xml:space="preserve"> </v>
      </c>
      <c r="B70" s="140" t="str">
        <f>dat</f>
        <v>Tāme sastādīta 201__. gada __.____________</v>
      </c>
      <c r="C70" s="140"/>
      <c r="D70" s="140"/>
      <c r="E70" s="140"/>
      <c r="F70" s="94"/>
    </row>
    <row r="71" spans="1:17" x14ac:dyDescent="0.25">
      <c r="A71" s="413" t="str">
        <f>IF(COUNTBLANK(I97)=1," ",COUNTA($I$65:I97))</f>
        <v xml:space="preserve"> </v>
      </c>
      <c r="B71" s="161"/>
      <c r="C71" s="161"/>
      <c r="F71" s="45"/>
    </row>
    <row r="72" spans="1:17" x14ac:dyDescent="0.25">
      <c r="A72" s="413" t="str">
        <f>IF(COUNTBLANK(I98)=1," ",COUNTA($I$65:I98))</f>
        <v xml:space="preserve"> </v>
      </c>
      <c r="B72" s="140" t="s">
        <v>147</v>
      </c>
      <c r="C72" s="140"/>
      <c r="F72" s="45"/>
    </row>
    <row r="73" spans="1:17" x14ac:dyDescent="0.25">
      <c r="A73" s="413" t="str">
        <f>IF(COUNTBLANK(I99)=1," ",COUNTA($I$65:I99))</f>
        <v xml:space="preserve"> </v>
      </c>
      <c r="B73" s="140"/>
      <c r="C73" s="358" t="s">
        <v>145</v>
      </c>
      <c r="F73" s="45"/>
    </row>
    <row r="74" spans="1:17" x14ac:dyDescent="0.25">
      <c r="A74" s="413" t="str">
        <f>IF(COUNTBLANK(I100)=1," ",COUNTA($I$65:I100))</f>
        <v xml:space="preserve"> </v>
      </c>
      <c r="B74" s="161"/>
      <c r="C74" s="140" t="s">
        <v>148</v>
      </c>
    </row>
    <row r="75" spans="1:17" x14ac:dyDescent="0.25">
      <c r="A75" s="413" t="str">
        <f>IF(COUNTBLANK(I101)=1," ",COUNTA($I$65:I101))</f>
        <v xml:space="preserve"> </v>
      </c>
    </row>
    <row r="76" spans="1:17" x14ac:dyDescent="0.25">
      <c r="A76" s="413" t="str">
        <f>IF(COUNTBLANK(I102)=1," ",COUNTA($I$65:I102))</f>
        <v xml:space="preserve"> </v>
      </c>
    </row>
    <row r="77" spans="1:17" x14ac:dyDescent="0.25">
      <c r="A77" s="413" t="str">
        <f>IF(COUNTBLANK(I103)=1," ",COUNTA($I$65:I103))</f>
        <v xml:space="preserve"> </v>
      </c>
    </row>
    <row r="78" spans="1:17" x14ac:dyDescent="0.25">
      <c r="A78" s="413" t="str">
        <f>IF(COUNTBLANK(I104)=1," ",COUNTA($I$65:I104))</f>
        <v xml:space="preserve"> </v>
      </c>
    </row>
    <row r="79" spans="1:17" x14ac:dyDescent="0.25">
      <c r="A79" s="413" t="str">
        <f>IF(COUNTBLANK(I105)=1," ",COUNTA($I$65:I105))</f>
        <v xml:space="preserve"> </v>
      </c>
    </row>
    <row r="80" spans="1:17" x14ac:dyDescent="0.25">
      <c r="A80" s="413" t="str">
        <f>IF(COUNTBLANK(I106)=1," ",COUNTA($I$65:I106))</f>
        <v xml:space="preserve"> </v>
      </c>
    </row>
    <row r="81" spans="1:1" x14ac:dyDescent="0.25">
      <c r="A81" s="413" t="str">
        <f>IF(COUNTBLANK(I107)=1," ",COUNTA($I$65:I107))</f>
        <v xml:space="preserve"> </v>
      </c>
    </row>
    <row r="82" spans="1:1" x14ac:dyDescent="0.25">
      <c r="A82" s="413" t="str">
        <f>IF(COUNTBLANK(I108)=1," ",COUNTA($I$65:I108))</f>
        <v xml:space="preserve"> </v>
      </c>
    </row>
    <row r="83" spans="1:1" x14ac:dyDescent="0.25">
      <c r="A83" s="413" t="str">
        <f>IF(COUNTBLANK(I109)=1," ",COUNTA($I$65:I109))</f>
        <v xml:space="preserve"> </v>
      </c>
    </row>
    <row r="84" spans="1:1" x14ac:dyDescent="0.25">
      <c r="A84" s="413" t="str">
        <f>IF(COUNTBLANK(I110)=1," ",COUNTA($I$65:I110))</f>
        <v xml:space="preserve"> </v>
      </c>
    </row>
    <row r="85" spans="1:1" x14ac:dyDescent="0.25">
      <c r="A85" s="413" t="str">
        <f>IF(COUNTBLANK(I111)=1," ",COUNTA($I$65:I111))</f>
        <v xml:space="preserve"> </v>
      </c>
    </row>
    <row r="86" spans="1:1" x14ac:dyDescent="0.25">
      <c r="A86" s="413" t="str">
        <f>IF(COUNTBLANK(I112)=1," ",COUNTA($I$65:I112))</f>
        <v xml:space="preserve"> </v>
      </c>
    </row>
    <row r="87" spans="1:1" x14ac:dyDescent="0.25">
      <c r="A87" s="413" t="str">
        <f>IF(COUNTBLANK(I113)=1," ",COUNTA($I$65:I113))</f>
        <v xml:space="preserve"> </v>
      </c>
    </row>
    <row r="88" spans="1:1" x14ac:dyDescent="0.25">
      <c r="A88" s="413" t="str">
        <f>IF(COUNTBLANK(I114)=1," ",COUNTA($I$65:I114))</f>
        <v xml:space="preserve"> </v>
      </c>
    </row>
    <row r="89" spans="1:1" x14ac:dyDescent="0.25">
      <c r="A89" s="413" t="str">
        <f>IF(COUNTBLANK(I115)=1," ",COUNTA($I$65:I115))</f>
        <v xml:space="preserve"> </v>
      </c>
    </row>
    <row r="90" spans="1:1" x14ac:dyDescent="0.25">
      <c r="A90" s="413" t="str">
        <f>IF(COUNTBLANK(I116)=1," ",COUNTA($I$65:I116))</f>
        <v xml:space="preserve"> </v>
      </c>
    </row>
    <row r="91" spans="1:1" x14ac:dyDescent="0.25">
      <c r="A91" s="413" t="str">
        <f>IF(COUNTBLANK(I117)=1," ",COUNTA($I$65:I117))</f>
        <v xml:space="preserve"> </v>
      </c>
    </row>
    <row r="92" spans="1:1" x14ac:dyDescent="0.25">
      <c r="A92" s="413" t="str">
        <f>IF(COUNTBLANK(I118)=1," ",COUNTA($I$65:I118))</f>
        <v xml:space="preserve"> </v>
      </c>
    </row>
    <row r="93" spans="1:1" x14ac:dyDescent="0.25">
      <c r="A93" s="413" t="str">
        <f>IF(COUNTBLANK(I119)=1," ",COUNTA($I$65:I119))</f>
        <v xml:space="preserve"> </v>
      </c>
    </row>
    <row r="94" spans="1:1" x14ac:dyDescent="0.25">
      <c r="A94" s="413" t="str">
        <f>IF(COUNTBLANK(I120)=1," ",COUNTA($I$65:I120))</f>
        <v xml:space="preserve"> </v>
      </c>
    </row>
    <row r="95" spans="1:1" x14ac:dyDescent="0.25">
      <c r="A95" s="413" t="str">
        <f>IF(COUNTBLANK(I121)=1," ",COUNTA($I$65:I121))</f>
        <v xml:space="preserve"> </v>
      </c>
    </row>
    <row r="96" spans="1:1" x14ac:dyDescent="0.25">
      <c r="A96" s="413" t="str">
        <f>IF(COUNTBLANK(I122)=1," ",COUNTA($I$65:I122))</f>
        <v xml:space="preserve"> </v>
      </c>
    </row>
    <row r="97" spans="1:1" x14ac:dyDescent="0.25">
      <c r="A97" s="413" t="str">
        <f>IF(COUNTBLANK(I123)=1," ",COUNTA($I$65:I123))</f>
        <v xml:space="preserve"> </v>
      </c>
    </row>
    <row r="98" spans="1:1" x14ac:dyDescent="0.25">
      <c r="A98" s="413" t="str">
        <f>IF(COUNTBLANK(I124)=1," ",COUNTA($I$65:I124))</f>
        <v xml:space="preserve"> </v>
      </c>
    </row>
    <row r="99" spans="1:1" x14ac:dyDescent="0.25">
      <c r="A99" s="413" t="str">
        <f>IF(COUNTBLANK(I125)=1," ",COUNTA($I$65:I125))</f>
        <v xml:space="preserve"> </v>
      </c>
    </row>
    <row r="100" spans="1:1" x14ac:dyDescent="0.25">
      <c r="A100" s="413" t="str">
        <f>IF(COUNTBLANK(I126)=1," ",COUNTA($I$65:I126))</f>
        <v xml:space="preserve"> </v>
      </c>
    </row>
    <row r="101" spans="1:1" x14ac:dyDescent="0.25">
      <c r="A101" s="413" t="str">
        <f>IF(COUNTBLANK(I127)=1," ",COUNTA($I$65:I127))</f>
        <v xml:space="preserve"> </v>
      </c>
    </row>
    <row r="102" spans="1:1" x14ac:dyDescent="0.25">
      <c r="A102" s="413" t="str">
        <f>IF(COUNTBLANK(I128)=1," ",COUNTA($I$65:I128))</f>
        <v xml:space="preserve"> </v>
      </c>
    </row>
    <row r="103" spans="1:1" x14ac:dyDescent="0.25">
      <c r="A103" s="413" t="str">
        <f>IF(COUNTBLANK(I129)=1," ",COUNTA($I$65:I129))</f>
        <v xml:space="preserve"> </v>
      </c>
    </row>
    <row r="104" spans="1:1" x14ac:dyDescent="0.25">
      <c r="A104" s="413" t="str">
        <f>IF(COUNTBLANK(I130)=1," ",COUNTA($I$65:I130))</f>
        <v xml:space="preserve"> </v>
      </c>
    </row>
    <row r="105" spans="1:1" x14ac:dyDescent="0.25">
      <c r="A105" s="413" t="str">
        <f>IF(COUNTBLANK(I131)=1," ",COUNTA($I$65:I131))</f>
        <v xml:space="preserve"> </v>
      </c>
    </row>
    <row r="106" spans="1:1" x14ac:dyDescent="0.25">
      <c r="A106" s="413" t="str">
        <f>IF(COUNTBLANK(I132)=1," ",COUNTA($I$65:I132))</f>
        <v xml:space="preserve"> </v>
      </c>
    </row>
    <row r="107" spans="1:1" x14ac:dyDescent="0.25">
      <c r="A107" s="413" t="str">
        <f>IF(COUNTBLANK(I133)=1," ",COUNTA($I$65:I133))</f>
        <v xml:space="preserve"> </v>
      </c>
    </row>
    <row r="108" spans="1:1" x14ac:dyDescent="0.25">
      <c r="A108" s="413" t="str">
        <f>IF(COUNTBLANK(I134)=1," ",COUNTA($I$65:I134))</f>
        <v xml:space="preserve"> </v>
      </c>
    </row>
    <row r="109" spans="1:1" x14ac:dyDescent="0.25">
      <c r="A109" s="413" t="str">
        <f>IF(COUNTBLANK(I135)=1," ",COUNTA($I$65:I135))</f>
        <v xml:space="preserve"> </v>
      </c>
    </row>
    <row r="110" spans="1:1" x14ac:dyDescent="0.25">
      <c r="A110" s="413" t="str">
        <f>IF(COUNTBLANK(I136)=1," ",COUNTA($I$65:I136))</f>
        <v xml:space="preserve"> </v>
      </c>
    </row>
    <row r="111" spans="1:1" x14ac:dyDescent="0.25">
      <c r="A111" s="413" t="str">
        <f>IF(COUNTBLANK(I137)=1," ",COUNTA($I$65:I137))</f>
        <v xml:space="preserve"> </v>
      </c>
    </row>
    <row r="112" spans="1:1" x14ac:dyDescent="0.25">
      <c r="A112" s="413" t="str">
        <f>IF(COUNTBLANK(I138)=1," ",COUNTA($I$65:I138))</f>
        <v xml:space="preserve"> </v>
      </c>
    </row>
    <row r="113" spans="1:1" x14ac:dyDescent="0.25">
      <c r="A113" s="413" t="str">
        <f>IF(COUNTBLANK(I139)=1," ",COUNTA($I$65:I139))</f>
        <v xml:space="preserve"> </v>
      </c>
    </row>
    <row r="114" spans="1:1" x14ac:dyDescent="0.25">
      <c r="A114" s="413" t="str">
        <f>IF(COUNTBLANK(I140)=1," ",COUNTA($I$65:I140))</f>
        <v xml:space="preserve"> </v>
      </c>
    </row>
    <row r="115" spans="1:1" x14ac:dyDescent="0.25">
      <c r="A115" s="413" t="str">
        <f>IF(COUNTBLANK(I141)=1," ",COUNTA($I$65:I141))</f>
        <v xml:space="preserve"> </v>
      </c>
    </row>
    <row r="116" spans="1:1" x14ac:dyDescent="0.25">
      <c r="A116" s="413" t="str">
        <f>IF(COUNTBLANK(I142)=1," ",COUNTA($I$65:I142))</f>
        <v xml:space="preserve"> </v>
      </c>
    </row>
    <row r="117" spans="1:1" x14ac:dyDescent="0.25">
      <c r="A117" s="413" t="str">
        <f>IF(COUNTBLANK(I143)=1," ",COUNTA($I$65:I143))</f>
        <v xml:space="preserve"> </v>
      </c>
    </row>
    <row r="118" spans="1:1" x14ac:dyDescent="0.25">
      <c r="A118" s="413" t="str">
        <f>IF(COUNTBLANK(I144)=1," ",COUNTA($I$65:I144))</f>
        <v xml:space="preserve"> </v>
      </c>
    </row>
    <row r="119" spans="1:1" x14ac:dyDescent="0.25">
      <c r="A119" s="413" t="str">
        <f>IF(COUNTBLANK(I145)=1," ",COUNTA($I$65:I145))</f>
        <v xml:space="preserve"> </v>
      </c>
    </row>
    <row r="120" spans="1:1" x14ac:dyDescent="0.25">
      <c r="A120" s="413" t="str">
        <f>IF(COUNTBLANK(I146)=1," ",COUNTA($I$65:I146))</f>
        <v xml:space="preserve"> </v>
      </c>
    </row>
    <row r="121" spans="1:1" x14ac:dyDescent="0.25">
      <c r="A121" s="413" t="str">
        <f>IF(COUNTBLANK(I147)=1," ",COUNTA($I$65:I147))</f>
        <v xml:space="preserve"> </v>
      </c>
    </row>
    <row r="122" spans="1:1" x14ac:dyDescent="0.25">
      <c r="A122" s="413" t="str">
        <f>IF(COUNTBLANK(I148)=1," ",COUNTA($I$65:I148))</f>
        <v xml:space="preserve"> </v>
      </c>
    </row>
    <row r="123" spans="1:1" x14ac:dyDescent="0.25">
      <c r="A123" s="413" t="str">
        <f>IF(COUNTBLANK(I149)=1," ",COUNTA($I$65:I149))</f>
        <v xml:space="preserve"> </v>
      </c>
    </row>
    <row r="124" spans="1:1" x14ac:dyDescent="0.25">
      <c r="A124" s="413" t="str">
        <f>IF(COUNTBLANK(I150)=1," ",COUNTA($I$65:I150))</f>
        <v xml:space="preserve"> </v>
      </c>
    </row>
    <row r="125" spans="1:1" x14ac:dyDescent="0.25">
      <c r="A125" s="413" t="str">
        <f>IF(COUNTBLANK(I151)=1," ",COUNTA($I$65:I151))</f>
        <v xml:space="preserve"> </v>
      </c>
    </row>
    <row r="126" spans="1:1" x14ac:dyDescent="0.25">
      <c r="A126" s="413" t="str">
        <f>IF(COUNTBLANK(I152)=1," ",COUNTA($I$65:I152))</f>
        <v xml:space="preserve"> </v>
      </c>
    </row>
    <row r="127" spans="1:1" x14ac:dyDescent="0.25">
      <c r="A127" s="413" t="str">
        <f>IF(COUNTBLANK(I153)=1," ",COUNTA($I$65:I153))</f>
        <v xml:space="preserve"> </v>
      </c>
    </row>
    <row r="128" spans="1:1" x14ac:dyDescent="0.25">
      <c r="A128" s="413" t="str">
        <f>IF(COUNTBLANK(I154)=1," ",COUNTA($I$65:I154))</f>
        <v xml:space="preserve"> </v>
      </c>
    </row>
    <row r="129" spans="1:1" x14ac:dyDescent="0.25">
      <c r="A129" s="413" t="str">
        <f>IF(COUNTBLANK(I155)=1," ",COUNTA($I$65:I155))</f>
        <v xml:space="preserve"> </v>
      </c>
    </row>
    <row r="130" spans="1:1" x14ac:dyDescent="0.25">
      <c r="A130" s="413" t="str">
        <f>IF(COUNTBLANK(I156)=1," ",COUNTA($I$65:I156))</f>
        <v xml:space="preserve"> </v>
      </c>
    </row>
    <row r="131" spans="1:1" x14ac:dyDescent="0.25">
      <c r="A131" s="413" t="str">
        <f>IF(COUNTBLANK(I157)=1," ",COUNTA($I$65:I157))</f>
        <v xml:space="preserve"> </v>
      </c>
    </row>
    <row r="132" spans="1:1" x14ac:dyDescent="0.25">
      <c r="A132" s="413" t="str">
        <f>IF(COUNTBLANK(I158)=1," ",COUNTA($I$65:I158))</f>
        <v xml:space="preserve"> </v>
      </c>
    </row>
    <row r="133" spans="1:1" x14ac:dyDescent="0.25">
      <c r="A133" s="413" t="str">
        <f>IF(COUNTBLANK(I159)=1," ",COUNTA($I$65:I159))</f>
        <v xml:space="preserve"> </v>
      </c>
    </row>
    <row r="134" spans="1:1" x14ac:dyDescent="0.25">
      <c r="A134" s="413" t="str">
        <f>IF(COUNTBLANK(I160)=1," ",COUNTA($I$65:I160))</f>
        <v xml:space="preserve"> </v>
      </c>
    </row>
    <row r="135" spans="1:1" x14ac:dyDescent="0.25">
      <c r="A135" s="413" t="str">
        <f>IF(COUNTBLANK(I161)=1," ",COUNTA($I$65:I161))</f>
        <v xml:space="preserve"> </v>
      </c>
    </row>
    <row r="136" spans="1:1" x14ac:dyDescent="0.25">
      <c r="A136" s="413" t="str">
        <f>IF(COUNTBLANK(I162)=1," ",COUNTA($I$65:I162))</f>
        <v xml:space="preserve"> </v>
      </c>
    </row>
    <row r="137" spans="1:1" x14ac:dyDescent="0.25">
      <c r="A137" s="413" t="str">
        <f>IF(COUNTBLANK(I163)=1," ",COUNTA($I$65:I163))</f>
        <v xml:space="preserve"> </v>
      </c>
    </row>
    <row r="138" spans="1:1" x14ac:dyDescent="0.25">
      <c r="A138" s="413" t="str">
        <f>IF(COUNTBLANK(I164)=1," ",COUNTA($I$65:I164))</f>
        <v xml:space="preserve"> </v>
      </c>
    </row>
    <row r="139" spans="1:1" x14ac:dyDescent="0.25">
      <c r="A139" s="413" t="str">
        <f>IF(COUNTBLANK(I165)=1," ",COUNTA($I$65:I165))</f>
        <v xml:space="preserve"> </v>
      </c>
    </row>
    <row r="140" spans="1:1" x14ac:dyDescent="0.25">
      <c r="A140" s="413" t="str">
        <f>IF(COUNTBLANK(I166)=1," ",COUNTA($I$65:I166))</f>
        <v xml:space="preserve"> </v>
      </c>
    </row>
    <row r="141" spans="1:1" x14ac:dyDescent="0.25">
      <c r="A141" s="413" t="str">
        <f>IF(COUNTBLANK(I167)=1," ",COUNTA($I$65:I167))</f>
        <v xml:space="preserve"> </v>
      </c>
    </row>
    <row r="142" spans="1:1" x14ac:dyDescent="0.25">
      <c r="A142" s="413" t="str">
        <f>IF(COUNTBLANK(I168)=1," ",COUNTA($I$65:I168))</f>
        <v xml:space="preserve"> </v>
      </c>
    </row>
    <row r="143" spans="1:1" x14ac:dyDescent="0.25">
      <c r="A143" s="413" t="str">
        <f>IF(COUNTBLANK(I169)=1," ",COUNTA($I$65:I169))</f>
        <v xml:space="preserve"> </v>
      </c>
    </row>
    <row r="144" spans="1:1" x14ac:dyDescent="0.25">
      <c r="A144" s="413" t="str">
        <f>IF(COUNTBLANK(I170)=1," ",COUNTA($I$65:I170))</f>
        <v xml:space="preserve"> </v>
      </c>
    </row>
    <row r="145" spans="1:1" x14ac:dyDescent="0.25">
      <c r="A145" s="413" t="str">
        <f>IF(COUNTBLANK(I171)=1," ",COUNTA($I$65:I171))</f>
        <v xml:space="preserve"> </v>
      </c>
    </row>
    <row r="146" spans="1:1" x14ac:dyDescent="0.25">
      <c r="A146" s="413" t="str">
        <f>IF(COUNTBLANK(I172)=1," ",COUNTA($I$65:I172))</f>
        <v xml:space="preserve"> </v>
      </c>
    </row>
    <row r="147" spans="1:1" x14ac:dyDescent="0.25">
      <c r="A147" s="413" t="str">
        <f>IF(COUNTBLANK(I173)=1," ",COUNTA($I$65:I173))</f>
        <v xml:space="preserve"> </v>
      </c>
    </row>
    <row r="148" spans="1:1" x14ac:dyDescent="0.25">
      <c r="A148" s="413" t="str">
        <f>IF(COUNTBLANK(I174)=1," ",COUNTA($I$65:I174))</f>
        <v xml:space="preserve"> </v>
      </c>
    </row>
    <row r="149" spans="1:1" x14ac:dyDescent="0.25">
      <c r="A149" s="413" t="str">
        <f>IF(COUNTBLANK(I175)=1," ",COUNTA($I$65:I175))</f>
        <v xml:space="preserve"> </v>
      </c>
    </row>
    <row r="150" spans="1:1" x14ac:dyDescent="0.25">
      <c r="A150" s="413" t="str">
        <f>IF(COUNTBLANK(I176)=1," ",COUNTA($I$65:I176))</f>
        <v xml:space="preserve"> </v>
      </c>
    </row>
    <row r="151" spans="1:1" x14ac:dyDescent="0.25">
      <c r="A151" s="413" t="str">
        <f>IF(COUNTBLANK(I177)=1," ",COUNTA($I$65:I177))</f>
        <v xml:space="preserve"> </v>
      </c>
    </row>
    <row r="152" spans="1:1" x14ac:dyDescent="0.25">
      <c r="A152" s="413" t="str">
        <f>IF(COUNTBLANK(I178)=1," ",COUNTA($I$65:I178))</f>
        <v xml:space="preserve"> </v>
      </c>
    </row>
    <row r="153" spans="1:1" x14ac:dyDescent="0.25">
      <c r="A153" s="413" t="str">
        <f>IF(COUNTBLANK(I179)=1," ",COUNTA($I$65:I179))</f>
        <v xml:space="preserve"> </v>
      </c>
    </row>
    <row r="154" spans="1:1" x14ac:dyDescent="0.25">
      <c r="A154" s="413" t="str">
        <f>IF(COUNTBLANK(I180)=1," ",COUNTA($I$65:I180))</f>
        <v xml:space="preserve"> </v>
      </c>
    </row>
    <row r="155" spans="1:1" x14ac:dyDescent="0.25">
      <c r="A155" s="738"/>
    </row>
    <row r="156" spans="1:1" x14ac:dyDescent="0.25">
      <c r="A156" s="738"/>
    </row>
    <row r="157" spans="1:1" x14ac:dyDescent="0.25">
      <c r="A157" s="738"/>
    </row>
    <row r="158" spans="1:1" x14ac:dyDescent="0.25">
      <c r="A158" s="738"/>
    </row>
    <row r="159" spans="1:1" x14ac:dyDescent="0.25">
      <c r="A159" s="738"/>
    </row>
    <row r="160" spans="1:1" x14ac:dyDescent="0.25">
      <c r="A160" s="738"/>
    </row>
    <row r="161" spans="1:1" x14ac:dyDescent="0.25">
      <c r="A161" s="738"/>
    </row>
    <row r="162" spans="1:1" x14ac:dyDescent="0.25">
      <c r="A162" s="738"/>
    </row>
    <row r="163" spans="1:1" x14ac:dyDescent="0.25">
      <c r="A163" s="738"/>
    </row>
    <row r="164" spans="1:1" x14ac:dyDescent="0.25">
      <c r="A164" s="738"/>
    </row>
    <row r="165" spans="1:1" x14ac:dyDescent="0.25">
      <c r="A165" s="738"/>
    </row>
    <row r="166" spans="1:1" x14ac:dyDescent="0.25">
      <c r="A166" s="738"/>
    </row>
    <row r="167" spans="1:1" x14ac:dyDescent="0.25">
      <c r="A167" s="738"/>
    </row>
    <row r="168" spans="1:1" x14ac:dyDescent="0.25">
      <c r="A168" s="738"/>
    </row>
    <row r="169" spans="1:1" x14ac:dyDescent="0.25">
      <c r="A169" s="738"/>
    </row>
    <row r="170" spans="1:1" x14ac:dyDescent="0.25">
      <c r="A170" s="738"/>
    </row>
    <row r="171" spans="1:1" x14ac:dyDescent="0.25">
      <c r="A171" s="738"/>
    </row>
    <row r="172" spans="1:1" x14ac:dyDescent="0.25">
      <c r="A172" s="738"/>
    </row>
    <row r="173" spans="1:1" x14ac:dyDescent="0.25">
      <c r="A173" s="738"/>
    </row>
  </sheetData>
  <autoFilter ref="A11:IU168" xr:uid="{00000000-0009-0000-0000-00000C000000}"/>
  <mergeCells count="8"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FU131"/>
  <sheetViews>
    <sheetView view="pageBreakPreview" topLeftCell="A88" zoomScale="85" zoomScaleSheetLayoutView="85" workbookViewId="0">
      <selection activeCell="C114" sqref="C114"/>
    </sheetView>
  </sheetViews>
  <sheetFormatPr defaultColWidth="8.85546875" defaultRowHeight="11.25" x14ac:dyDescent="0.25"/>
  <cols>
    <col min="1" max="1" width="4.140625" style="738" customWidth="1"/>
    <col min="2" max="2" width="4.140625" style="45" customWidth="1"/>
    <col min="3" max="3" width="48.5703125" style="50" customWidth="1"/>
    <col min="4" max="4" width="5.85546875" style="45" customWidth="1"/>
    <col min="5" max="5" width="7.140625" style="48" customWidth="1"/>
    <col min="6" max="6" width="4" style="45" hidden="1" customWidth="1"/>
    <col min="7" max="7" width="6" style="45" customWidth="1"/>
    <col min="8" max="8" width="7" style="45" customWidth="1"/>
    <col min="9" max="9" width="5.42578125" style="45" customWidth="1"/>
    <col min="10" max="10" width="7" style="45" customWidth="1"/>
    <col min="11" max="11" width="5.42578125" style="45" customWidth="1"/>
    <col min="12" max="12" width="6" style="45" customWidth="1"/>
    <col min="13" max="13" width="7.7109375" style="45" customWidth="1"/>
    <col min="14" max="14" width="8" style="45" customWidth="1"/>
    <col min="15" max="15" width="8.5703125" style="45" customWidth="1"/>
    <col min="16" max="16" width="10.85546875" style="45" customWidth="1"/>
    <col min="17" max="17" width="8" style="45" customWidth="1"/>
    <col min="18" max="16384" width="8.85546875" style="45"/>
  </cols>
  <sheetData>
    <row r="1" spans="1:17" s="31" customFormat="1" x14ac:dyDescent="0.25">
      <c r="A1" s="845" t="s">
        <v>6</v>
      </c>
      <c r="B1" s="845"/>
      <c r="C1" s="845"/>
      <c r="D1" s="845"/>
      <c r="E1" s="845"/>
      <c r="F1" s="845"/>
      <c r="G1" s="838"/>
      <c r="H1" s="92">
        <f>KPDV!B23</f>
        <v>11</v>
      </c>
      <c r="I1" s="30"/>
      <c r="J1" s="30"/>
      <c r="K1" s="30"/>
      <c r="L1" s="30"/>
      <c r="M1" s="30"/>
    </row>
    <row r="2" spans="1:17" s="31" customFormat="1" x14ac:dyDescent="0.25">
      <c r="A2" s="411"/>
      <c r="B2" s="741"/>
      <c r="C2" s="49" t="s">
        <v>456</v>
      </c>
      <c r="D2" s="741"/>
      <c r="E2" s="741"/>
      <c r="F2" s="741"/>
      <c r="G2" s="741"/>
      <c r="H2" s="92"/>
      <c r="I2" s="30"/>
      <c r="J2" s="30"/>
      <c r="K2" s="30"/>
      <c r="L2" s="30"/>
      <c r="M2" s="30"/>
    </row>
    <row r="3" spans="1:17" x14ac:dyDescent="0.25">
      <c r="A3" s="190" t="str">
        <f>nos</f>
        <v>Būves nosaukums:  Dzīvojamās māja</v>
      </c>
      <c r="B3" s="46"/>
      <c r="C3" s="44"/>
      <c r="D3" s="46"/>
      <c r="E3" s="4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x14ac:dyDescent="0.25">
      <c r="A4" s="168" t="str">
        <f>obj</f>
        <v>Objekta nosaukums: Dzīvojamās ēkas fasādes vienkāršota atjaunošana</v>
      </c>
      <c r="B4" s="46"/>
      <c r="C4" s="44"/>
      <c r="D4" s="46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x14ac:dyDescent="0.25">
      <c r="A5" s="168" t="str">
        <f>adres</f>
        <v>Objekta adrese: Aisteres iela 7, Liepājā</v>
      </c>
      <c r="B5" s="46"/>
      <c r="C5" s="44"/>
      <c r="D5" s="46"/>
      <c r="E5" s="47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2" thickBot="1" x14ac:dyDescent="0.3">
      <c r="A6" s="168" t="str">
        <f>nr</f>
        <v>Pasūtījuma Nr.WS-41-17</v>
      </c>
      <c r="B6" s="46"/>
      <c r="C6" s="44"/>
      <c r="D6" s="46"/>
      <c r="E6" s="47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2" thickBot="1" x14ac:dyDescent="0.3">
      <c r="A7" s="190"/>
      <c r="B7" s="7"/>
      <c r="C7" s="322" t="s">
        <v>695</v>
      </c>
      <c r="D7" s="162"/>
      <c r="E7" s="171" t="s">
        <v>721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Q121</f>
        <v>0</v>
      </c>
    </row>
    <row r="8" spans="1:17" x14ac:dyDescent="0.25">
      <c r="A8" s="182"/>
      <c r="B8" s="187"/>
      <c r="C8" s="311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46"/>
    </row>
    <row r="9" spans="1:17" s="738" customFormat="1" x14ac:dyDescent="0.25">
      <c r="A9" s="830" t="s">
        <v>7</v>
      </c>
      <c r="B9" s="831" t="s">
        <v>8</v>
      </c>
      <c r="C9" s="832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738" customFormat="1" ht="69" x14ac:dyDescent="0.25">
      <c r="A10" s="830"/>
      <c r="B10" s="831"/>
      <c r="C10" s="832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738" customFormat="1" x14ac:dyDescent="0.25">
      <c r="A11" s="412">
        <v>1</v>
      </c>
      <c r="B11" s="243">
        <f>A11+1</f>
        <v>2</v>
      </c>
      <c r="C11" s="16">
        <f>B11+1</f>
        <v>3</v>
      </c>
      <c r="D11" s="243">
        <f>C11+1</f>
        <v>4</v>
      </c>
      <c r="E11" s="244">
        <f>D11+1</f>
        <v>5</v>
      </c>
      <c r="F11" s="145"/>
      <c r="G11" s="243">
        <f>E11+1</f>
        <v>6</v>
      </c>
      <c r="H11" s="243">
        <f t="shared" ref="H11:Q11" si="0">G11+1</f>
        <v>7</v>
      </c>
      <c r="I11" s="243">
        <f t="shared" si="0"/>
        <v>8</v>
      </c>
      <c r="J11" s="243">
        <f t="shared" si="0"/>
        <v>9</v>
      </c>
      <c r="K11" s="243">
        <f t="shared" si="0"/>
        <v>10</v>
      </c>
      <c r="L11" s="243">
        <f t="shared" si="0"/>
        <v>11</v>
      </c>
      <c r="M11" s="243">
        <f t="shared" si="0"/>
        <v>12</v>
      </c>
      <c r="N11" s="243">
        <f t="shared" si="0"/>
        <v>13</v>
      </c>
      <c r="O11" s="243">
        <f t="shared" si="0"/>
        <v>14</v>
      </c>
      <c r="P11" s="243">
        <f t="shared" si="0"/>
        <v>15</v>
      </c>
      <c r="Q11" s="243">
        <f t="shared" si="0"/>
        <v>16</v>
      </c>
    </row>
    <row r="12" spans="1:17" ht="22.5" x14ac:dyDescent="0.25">
      <c r="A12" s="52" t="str">
        <f>IF(COUNTBLANK(B12)=1," ",COUNTA($B$12:B12))</f>
        <v xml:space="preserve"> </v>
      </c>
      <c r="B12" s="518"/>
      <c r="C12" s="663" t="s">
        <v>839</v>
      </c>
      <c r="D12" s="518"/>
      <c r="E12" s="518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7" ht="22.5" x14ac:dyDescent="0.25">
      <c r="A13" s="52">
        <f>IF(COUNTBLANK(B13)=1," ",COUNTA($B$12:B13))</f>
        <v>1</v>
      </c>
      <c r="B13" s="9" t="s">
        <v>14</v>
      </c>
      <c r="C13" s="717" t="s">
        <v>840</v>
      </c>
      <c r="D13" s="53" t="s">
        <v>303</v>
      </c>
      <c r="E13" s="53">
        <f>0.31*26</f>
        <v>8.06</v>
      </c>
      <c r="F13" s="57"/>
      <c r="G13" s="437"/>
      <c r="H13" s="437"/>
      <c r="I13" s="438"/>
      <c r="J13" s="439"/>
      <c r="K13" s="438"/>
      <c r="L13" s="315"/>
      <c r="M13" s="315"/>
      <c r="N13" s="315"/>
      <c r="O13" s="315"/>
      <c r="P13" s="315"/>
      <c r="Q13" s="315"/>
    </row>
    <row r="14" spans="1:17" ht="22.5" x14ac:dyDescent="0.25">
      <c r="A14" s="52">
        <f>IF(COUNTBLANK(B14)=1," ",COUNTA($B$12:B14))</f>
        <v>2</v>
      </c>
      <c r="B14" s="9" t="s">
        <v>14</v>
      </c>
      <c r="C14" s="717" t="s">
        <v>841</v>
      </c>
      <c r="D14" s="53" t="s">
        <v>303</v>
      </c>
      <c r="E14" s="53">
        <f>35*3</f>
        <v>105</v>
      </c>
      <c r="F14" s="57"/>
      <c r="G14" s="437"/>
      <c r="H14" s="446"/>
      <c r="I14" s="438"/>
      <c r="J14" s="439"/>
      <c r="K14" s="438"/>
      <c r="L14" s="315"/>
      <c r="M14" s="315"/>
      <c r="N14" s="315"/>
      <c r="O14" s="315"/>
      <c r="P14" s="315"/>
      <c r="Q14" s="315"/>
    </row>
    <row r="15" spans="1:17" s="49" customFormat="1" ht="22.5" x14ac:dyDescent="0.25">
      <c r="A15" s="52">
        <f>IF(COUNTBLANK(B15)=1," ",COUNTA($B$12:B15))</f>
        <v>3</v>
      </c>
      <c r="B15" s="9" t="s">
        <v>14</v>
      </c>
      <c r="C15" s="717" t="s">
        <v>842</v>
      </c>
      <c r="D15" s="53" t="s">
        <v>303</v>
      </c>
      <c r="E15" s="53">
        <f>8*4.58</f>
        <v>36.64</v>
      </c>
      <c r="F15" s="57"/>
      <c r="G15" s="437"/>
      <c r="H15" s="446"/>
      <c r="I15" s="438"/>
      <c r="J15" s="439"/>
      <c r="K15" s="438"/>
      <c r="L15" s="315"/>
      <c r="M15" s="315"/>
      <c r="N15" s="315"/>
      <c r="O15" s="315"/>
      <c r="P15" s="315"/>
      <c r="Q15" s="315"/>
    </row>
    <row r="16" spans="1:17" ht="22.5" x14ac:dyDescent="0.25">
      <c r="A16" s="52">
        <f>IF(COUNTBLANK(B16)=1," ",COUNTA($B$12:B16))</f>
        <v>4</v>
      </c>
      <c r="B16" s="9" t="s">
        <v>14</v>
      </c>
      <c r="C16" s="717" t="s">
        <v>843</v>
      </c>
      <c r="D16" s="53" t="s">
        <v>303</v>
      </c>
      <c r="E16" s="53">
        <f>4*2.4</f>
        <v>9.6</v>
      </c>
      <c r="F16" s="57"/>
      <c r="G16" s="437"/>
      <c r="H16" s="446"/>
      <c r="I16" s="438"/>
      <c r="J16" s="439"/>
      <c r="K16" s="438"/>
      <c r="L16" s="315"/>
      <c r="M16" s="315"/>
      <c r="N16" s="315"/>
      <c r="O16" s="315"/>
      <c r="P16" s="315"/>
      <c r="Q16" s="315"/>
    </row>
    <row r="17" spans="1:17" ht="33.75" x14ac:dyDescent="0.25">
      <c r="A17" s="52">
        <f>IF(COUNTBLANK(B17)=1," ",COUNTA($B$12:B17))</f>
        <v>5</v>
      </c>
      <c r="B17" s="9" t="s">
        <v>14</v>
      </c>
      <c r="C17" s="717" t="s">
        <v>883</v>
      </c>
      <c r="D17" s="53" t="s">
        <v>17</v>
      </c>
      <c r="E17" s="53">
        <v>176</v>
      </c>
      <c r="F17" s="57"/>
      <c r="G17" s="437"/>
      <c r="H17" s="446"/>
      <c r="I17" s="438"/>
      <c r="J17" s="439"/>
      <c r="K17" s="438"/>
      <c r="L17" s="315"/>
      <c r="M17" s="315"/>
      <c r="N17" s="315"/>
      <c r="O17" s="315"/>
      <c r="P17" s="315"/>
      <c r="Q17" s="315"/>
    </row>
    <row r="18" spans="1:17" ht="22.5" x14ac:dyDescent="0.25">
      <c r="A18" s="52">
        <f>IF(COUNTBLANK(B18)=1," ",COUNTA($B$12:B18))</f>
        <v>6</v>
      </c>
      <c r="B18" s="9" t="s">
        <v>14</v>
      </c>
      <c r="C18" s="717" t="s">
        <v>844</v>
      </c>
      <c r="D18" s="53" t="s">
        <v>17</v>
      </c>
      <c r="E18" s="53">
        <v>36</v>
      </c>
      <c r="F18" s="57"/>
      <c r="G18" s="437"/>
      <c r="H18" s="446"/>
      <c r="I18" s="438"/>
      <c r="J18" s="439"/>
      <c r="K18" s="438"/>
      <c r="L18" s="315"/>
      <c r="M18" s="315"/>
      <c r="N18" s="315"/>
      <c r="O18" s="315"/>
      <c r="P18" s="315"/>
      <c r="Q18" s="315"/>
    </row>
    <row r="19" spans="1:17" ht="22.5" x14ac:dyDescent="0.25">
      <c r="A19" s="52">
        <f>IF(COUNTBLANK(B19)=1," ",COUNTA($B$12:B19))</f>
        <v>7</v>
      </c>
      <c r="B19" s="9" t="s">
        <v>14</v>
      </c>
      <c r="C19" s="717" t="s">
        <v>845</v>
      </c>
      <c r="D19" s="53" t="s">
        <v>17</v>
      </c>
      <c r="E19" s="53">
        <v>36</v>
      </c>
      <c r="F19" s="57"/>
      <c r="G19" s="437"/>
      <c r="H19" s="446"/>
      <c r="I19" s="438"/>
      <c r="J19" s="439"/>
      <c r="K19" s="438"/>
      <c r="L19" s="315"/>
      <c r="M19" s="315"/>
      <c r="N19" s="315"/>
      <c r="O19" s="315"/>
      <c r="P19" s="315"/>
      <c r="Q19" s="315"/>
    </row>
    <row r="20" spans="1:17" ht="22.5" x14ac:dyDescent="0.25">
      <c r="A20" s="52">
        <f>IF(COUNTBLANK(B20)=1," ",COUNTA($B$12:B20))</f>
        <v>8</v>
      </c>
      <c r="B20" s="9" t="s">
        <v>14</v>
      </c>
      <c r="C20" s="717" t="s">
        <v>846</v>
      </c>
      <c r="D20" s="53" t="s">
        <v>32</v>
      </c>
      <c r="E20" s="53">
        <v>23</v>
      </c>
      <c r="F20" s="57"/>
      <c r="G20" s="437"/>
      <c r="H20" s="446"/>
      <c r="I20" s="438"/>
      <c r="J20" s="439"/>
      <c r="K20" s="438"/>
      <c r="L20" s="315"/>
      <c r="M20" s="315"/>
      <c r="N20" s="315"/>
      <c r="O20" s="315"/>
      <c r="P20" s="315"/>
      <c r="Q20" s="315"/>
    </row>
    <row r="21" spans="1:17" ht="22.5" x14ac:dyDescent="0.25">
      <c r="A21" s="52">
        <f>IF(COUNTBLANK(B21)=1," ",COUNTA($B$12:B21))</f>
        <v>9</v>
      </c>
      <c r="B21" s="9" t="s">
        <v>14</v>
      </c>
      <c r="C21" s="717" t="s">
        <v>847</v>
      </c>
      <c r="D21" s="53" t="s">
        <v>32</v>
      </c>
      <c r="E21" s="53">
        <v>4</v>
      </c>
      <c r="F21" s="57"/>
      <c r="G21" s="437"/>
      <c r="H21" s="446"/>
      <c r="I21" s="438"/>
      <c r="J21" s="439"/>
      <c r="K21" s="438"/>
      <c r="L21" s="315"/>
      <c r="M21" s="315"/>
      <c r="N21" s="315"/>
      <c r="O21" s="315"/>
      <c r="P21" s="315"/>
      <c r="Q21" s="315"/>
    </row>
    <row r="22" spans="1:17" ht="22.5" x14ac:dyDescent="0.25">
      <c r="A22" s="52">
        <f>IF(COUNTBLANK(B22)=1," ",COUNTA($B$12:B22))</f>
        <v>10</v>
      </c>
      <c r="B22" s="9" t="s">
        <v>14</v>
      </c>
      <c r="C22" s="717" t="s">
        <v>848</v>
      </c>
      <c r="D22" s="53" t="s">
        <v>26</v>
      </c>
      <c r="E22" s="53">
        <v>5.7</v>
      </c>
      <c r="F22" s="60"/>
      <c r="G22" s="60"/>
      <c r="H22" s="446"/>
      <c r="I22" s="15"/>
      <c r="J22" s="15"/>
      <c r="K22" s="60"/>
      <c r="L22" s="315"/>
      <c r="M22" s="315"/>
      <c r="N22" s="315"/>
      <c r="O22" s="315"/>
      <c r="P22" s="315"/>
      <c r="Q22" s="315"/>
    </row>
    <row r="23" spans="1:17" ht="22.5" x14ac:dyDescent="0.25">
      <c r="A23" s="52">
        <f>IF(COUNTBLANK(B23)=1," ",COUNTA($B$12:B23))</f>
        <v>11</v>
      </c>
      <c r="B23" s="9" t="s">
        <v>14</v>
      </c>
      <c r="C23" s="717" t="s">
        <v>849</v>
      </c>
      <c r="D23" s="53" t="s">
        <v>26</v>
      </c>
      <c r="E23" s="53">
        <v>70.7</v>
      </c>
      <c r="F23" s="60"/>
      <c r="G23" s="60"/>
      <c r="H23" s="446"/>
      <c r="I23" s="15"/>
      <c r="J23" s="15"/>
      <c r="K23" s="60"/>
      <c r="L23" s="315"/>
      <c r="M23" s="315"/>
      <c r="N23" s="315"/>
      <c r="O23" s="315"/>
      <c r="P23" s="315"/>
      <c r="Q23" s="315"/>
    </row>
    <row r="24" spans="1:17" ht="22.5" x14ac:dyDescent="0.25">
      <c r="A24" s="52">
        <f>IF(COUNTBLANK(B24)=1," ",COUNTA($B$12:B24))</f>
        <v>12</v>
      </c>
      <c r="B24" s="9" t="s">
        <v>14</v>
      </c>
      <c r="C24" s="717" t="s">
        <v>850</v>
      </c>
      <c r="D24" s="53" t="s">
        <v>303</v>
      </c>
      <c r="E24" s="53">
        <v>20</v>
      </c>
      <c r="F24" s="57"/>
      <c r="G24" s="437"/>
      <c r="H24" s="446"/>
      <c r="I24" s="438"/>
      <c r="J24" s="439"/>
      <c r="K24" s="438"/>
      <c r="L24" s="315"/>
      <c r="M24" s="315"/>
      <c r="N24" s="315"/>
      <c r="O24" s="315"/>
      <c r="P24" s="315"/>
      <c r="Q24" s="315"/>
    </row>
    <row r="25" spans="1:17" ht="22.5" x14ac:dyDescent="0.25">
      <c r="A25" s="52">
        <f>IF(COUNTBLANK(B25)=1," ",COUNTA($B$12:B25))</f>
        <v>13</v>
      </c>
      <c r="B25" s="9" t="s">
        <v>14</v>
      </c>
      <c r="C25" s="717" t="s">
        <v>851</v>
      </c>
      <c r="D25" s="53" t="s">
        <v>26</v>
      </c>
      <c r="E25" s="53">
        <f>0.063*36</f>
        <v>2.2679999999999998</v>
      </c>
      <c r="F25" s="57"/>
      <c r="G25" s="60"/>
      <c r="H25" s="446"/>
      <c r="I25" s="15"/>
      <c r="J25" s="15"/>
      <c r="K25" s="60"/>
      <c r="L25" s="315"/>
      <c r="M25" s="315"/>
      <c r="N25" s="315"/>
      <c r="O25" s="315"/>
      <c r="P25" s="315"/>
      <c r="Q25" s="315"/>
    </row>
    <row r="26" spans="1:17" ht="22.5" x14ac:dyDescent="0.25">
      <c r="A26" s="52">
        <f>IF(COUNTBLANK(B26)=1," ",COUNTA($B$12:B26))</f>
        <v>14</v>
      </c>
      <c r="B26" s="9" t="s">
        <v>14</v>
      </c>
      <c r="C26" s="16" t="s">
        <v>852</v>
      </c>
      <c r="D26" s="729"/>
      <c r="E26" s="392"/>
      <c r="F26" s="60"/>
      <c r="G26" s="60"/>
      <c r="H26" s="446"/>
      <c r="I26" s="15"/>
      <c r="J26" s="440"/>
      <c r="K26" s="60"/>
      <c r="L26" s="315"/>
      <c r="M26" s="315"/>
      <c r="N26" s="315"/>
      <c r="O26" s="315"/>
      <c r="P26" s="315"/>
      <c r="Q26" s="315"/>
    </row>
    <row r="27" spans="1:17" ht="22.5" x14ac:dyDescent="0.25">
      <c r="A27" s="52" t="str">
        <f>IF(COUNTBLANK(B27)=1," ",COUNTA($B$12:B27))</f>
        <v xml:space="preserve"> </v>
      </c>
      <c r="B27" s="9"/>
      <c r="C27" s="16" t="s">
        <v>304</v>
      </c>
      <c r="D27" s="729" t="s">
        <v>17</v>
      </c>
      <c r="E27" s="392">
        <f>0.25*58.7</f>
        <v>14.675000000000001</v>
      </c>
      <c r="F27" s="60"/>
      <c r="G27" s="136"/>
      <c r="H27" s="136"/>
      <c r="I27" s="136"/>
      <c r="J27" s="136"/>
      <c r="K27" s="136"/>
      <c r="L27" s="315"/>
      <c r="M27" s="315"/>
      <c r="N27" s="315"/>
      <c r="O27" s="315"/>
      <c r="P27" s="315"/>
      <c r="Q27" s="315"/>
    </row>
    <row r="28" spans="1:17" ht="22.5" x14ac:dyDescent="0.25">
      <c r="A28" s="52" t="str">
        <f>IF(COUNTBLANK(B28)=1," ",COUNTA($B$12:B28))</f>
        <v xml:space="preserve"> </v>
      </c>
      <c r="B28" s="9"/>
      <c r="C28" s="16" t="s">
        <v>305</v>
      </c>
      <c r="D28" s="729" t="s">
        <v>26</v>
      </c>
      <c r="E28" s="392">
        <v>1.2</v>
      </c>
      <c r="F28" s="57"/>
      <c r="G28" s="60"/>
      <c r="H28" s="271"/>
      <c r="I28" s="60"/>
      <c r="J28" s="60"/>
      <c r="K28" s="60"/>
      <c r="L28" s="315"/>
      <c r="M28" s="315"/>
      <c r="N28" s="315"/>
      <c r="O28" s="315"/>
      <c r="P28" s="315"/>
      <c r="Q28" s="315"/>
    </row>
    <row r="29" spans="1:17" ht="22.5" x14ac:dyDescent="0.25">
      <c r="A29" s="52" t="str">
        <f>IF(COUNTBLANK(B29)=1," ",COUNTA($B$12:B29))</f>
        <v xml:space="preserve"> </v>
      </c>
      <c r="B29" s="9"/>
      <c r="C29" s="16" t="s">
        <v>306</v>
      </c>
      <c r="D29" s="743" t="s">
        <v>17</v>
      </c>
      <c r="E29" s="392">
        <f>47.2*0.45*0.05</f>
        <v>1.0620000000000001</v>
      </c>
      <c r="F29" s="57"/>
      <c r="G29" s="34"/>
      <c r="H29" s="271"/>
      <c r="I29" s="34"/>
      <c r="J29" s="34"/>
      <c r="K29" s="34"/>
      <c r="L29" s="315"/>
      <c r="M29" s="315"/>
      <c r="N29" s="315"/>
      <c r="O29" s="315"/>
      <c r="P29" s="315"/>
      <c r="Q29" s="315"/>
    </row>
    <row r="30" spans="1:17" ht="22.5" x14ac:dyDescent="0.25">
      <c r="A30" s="52" t="str">
        <f>IF(COUNTBLANK(B30)=1," ",COUNTA($B$12:B30))</f>
        <v xml:space="preserve"> </v>
      </c>
      <c r="B30" s="9"/>
      <c r="C30" s="16" t="s">
        <v>307</v>
      </c>
      <c r="D30" s="743" t="s">
        <v>17</v>
      </c>
      <c r="E30" s="392">
        <f>11.5*0.25*0.05</f>
        <v>0.14375000000000002</v>
      </c>
      <c r="F30" s="57"/>
      <c r="G30" s="60"/>
      <c r="H30" s="271"/>
      <c r="I30" s="60"/>
      <c r="J30" s="60"/>
      <c r="K30" s="60"/>
      <c r="L30" s="315"/>
      <c r="M30" s="315"/>
      <c r="N30" s="315"/>
      <c r="O30" s="315"/>
      <c r="P30" s="315"/>
      <c r="Q30" s="315"/>
    </row>
    <row r="31" spans="1:17" ht="22.5" x14ac:dyDescent="0.25">
      <c r="A31" s="52" t="str">
        <f>IF(COUNTBLANK(B31)=1," ",COUNTA($B$12:B31))</f>
        <v xml:space="preserve"> </v>
      </c>
      <c r="B31" s="9"/>
      <c r="C31" s="16" t="s">
        <v>308</v>
      </c>
      <c r="D31" s="743" t="s">
        <v>32</v>
      </c>
      <c r="E31" s="236">
        <v>80</v>
      </c>
      <c r="F31" s="57"/>
      <c r="G31" s="34"/>
      <c r="H31" s="271"/>
      <c r="I31" s="34"/>
      <c r="J31" s="34"/>
      <c r="K31" s="34"/>
      <c r="L31" s="315"/>
      <c r="M31" s="315"/>
      <c r="N31" s="315"/>
      <c r="O31" s="315"/>
      <c r="P31" s="315"/>
      <c r="Q31" s="315"/>
    </row>
    <row r="32" spans="1:17" ht="22.5" x14ac:dyDescent="0.25">
      <c r="A32" s="52" t="str">
        <f>IF(COUNTBLANK(B32)=1," ",COUNTA($B$12:B32))</f>
        <v xml:space="preserve"> </v>
      </c>
      <c r="B32" s="9"/>
      <c r="C32" s="16" t="s">
        <v>309</v>
      </c>
      <c r="D32" s="743" t="s">
        <v>32</v>
      </c>
      <c r="E32" s="236">
        <v>20</v>
      </c>
      <c r="F32" s="57"/>
      <c r="G32" s="34"/>
      <c r="H32" s="271"/>
      <c r="I32" s="34"/>
      <c r="J32" s="34"/>
      <c r="K32" s="34"/>
      <c r="L32" s="315"/>
      <c r="M32" s="315"/>
      <c r="N32" s="315"/>
      <c r="O32" s="315"/>
      <c r="P32" s="315"/>
      <c r="Q32" s="315"/>
    </row>
    <row r="33" spans="1:17" x14ac:dyDescent="0.25">
      <c r="A33" s="52" t="str">
        <f>IF(COUNTBLANK(B33)=1," ",COUNTA($B$12:B33))</f>
        <v xml:space="preserve"> </v>
      </c>
      <c r="B33" s="9"/>
      <c r="C33" s="16" t="s">
        <v>310</v>
      </c>
      <c r="D33" s="743" t="s">
        <v>32</v>
      </c>
      <c r="E33" s="236">
        <v>200</v>
      </c>
      <c r="F33" s="57"/>
      <c r="G33" s="34"/>
      <c r="H33" s="271"/>
      <c r="I33" s="34"/>
      <c r="J33" s="34"/>
      <c r="K33" s="34"/>
      <c r="L33" s="315"/>
      <c r="M33" s="315"/>
      <c r="N33" s="315"/>
      <c r="O33" s="315"/>
      <c r="P33" s="315"/>
      <c r="Q33" s="315"/>
    </row>
    <row r="34" spans="1:17" ht="22.5" x14ac:dyDescent="0.25">
      <c r="A34" s="52" t="str">
        <f>IF(COUNTBLANK(B34)=1," ",COUNTA($B$12:B34))</f>
        <v xml:space="preserve"> </v>
      </c>
      <c r="B34" s="9"/>
      <c r="C34" s="16" t="s">
        <v>311</v>
      </c>
      <c r="D34" s="743" t="s">
        <v>17</v>
      </c>
      <c r="E34" s="392">
        <f>0.45*47.2</f>
        <v>21.240000000000002</v>
      </c>
      <c r="F34" s="57"/>
      <c r="G34" s="57"/>
      <c r="H34" s="57"/>
      <c r="I34" s="57"/>
      <c r="J34" s="57"/>
      <c r="K34" s="57"/>
      <c r="L34" s="315"/>
      <c r="M34" s="315"/>
      <c r="N34" s="315"/>
      <c r="O34" s="315"/>
      <c r="P34" s="315"/>
      <c r="Q34" s="315"/>
    </row>
    <row r="35" spans="1:17" ht="22.5" x14ac:dyDescent="0.25">
      <c r="A35" s="52" t="str">
        <f>IF(COUNTBLANK(B35)=1," ",COUNTA($B$12:B35))</f>
        <v xml:space="preserve"> </v>
      </c>
      <c r="B35" s="9"/>
      <c r="C35" s="16" t="s">
        <v>312</v>
      </c>
      <c r="D35" s="743" t="s">
        <v>17</v>
      </c>
      <c r="E35" s="392">
        <f>0.25*11.5</f>
        <v>2.875</v>
      </c>
      <c r="F35" s="57"/>
      <c r="G35" s="34"/>
      <c r="H35" s="271"/>
      <c r="I35" s="34"/>
      <c r="J35" s="34"/>
      <c r="K35" s="34"/>
      <c r="L35" s="315"/>
      <c r="M35" s="315"/>
      <c r="N35" s="315"/>
      <c r="O35" s="315"/>
      <c r="P35" s="315"/>
      <c r="Q35" s="315"/>
    </row>
    <row r="36" spans="1:17" ht="22.5" x14ac:dyDescent="0.25">
      <c r="A36" s="52" t="str">
        <f>IF(COUNTBLANK(B36)=1," ",COUNTA($B$12:B36))</f>
        <v xml:space="preserve"> </v>
      </c>
      <c r="B36" s="9"/>
      <c r="C36" s="16" t="s">
        <v>313</v>
      </c>
      <c r="D36" s="743" t="s">
        <v>32</v>
      </c>
      <c r="E36" s="236">
        <v>80</v>
      </c>
      <c r="F36" s="57"/>
      <c r="G36" s="60"/>
      <c r="H36" s="271"/>
      <c r="I36" s="60"/>
      <c r="J36" s="60"/>
      <c r="K36" s="60"/>
      <c r="L36" s="315"/>
      <c r="M36" s="315"/>
      <c r="N36" s="315"/>
      <c r="O36" s="315"/>
      <c r="P36" s="315"/>
      <c r="Q36" s="315"/>
    </row>
    <row r="37" spans="1:17" ht="22.5" x14ac:dyDescent="0.25">
      <c r="A37" s="52" t="str">
        <f>IF(COUNTBLANK(B37)=1," ",COUNTA($B$12:B37))</f>
        <v xml:space="preserve"> </v>
      </c>
      <c r="B37" s="9"/>
      <c r="C37" s="16" t="s">
        <v>314</v>
      </c>
      <c r="D37" s="743" t="s">
        <v>32</v>
      </c>
      <c r="E37" s="236">
        <v>20</v>
      </c>
      <c r="F37" s="57"/>
      <c r="G37" s="60"/>
      <c r="H37" s="271"/>
      <c r="I37" s="60"/>
      <c r="J37" s="60"/>
      <c r="K37" s="60"/>
      <c r="L37" s="315"/>
      <c r="M37" s="315"/>
      <c r="N37" s="315"/>
      <c r="O37" s="315"/>
      <c r="P37" s="315"/>
      <c r="Q37" s="315"/>
    </row>
    <row r="38" spans="1:17" ht="22.5" x14ac:dyDescent="0.25">
      <c r="A38" s="52" t="str">
        <f>IF(COUNTBLANK(B38)=1," ",COUNTA($B$12:B38))</f>
        <v xml:space="preserve"> </v>
      </c>
      <c r="B38" s="9"/>
      <c r="C38" s="16" t="s">
        <v>315</v>
      </c>
      <c r="D38" s="743" t="s">
        <v>17</v>
      </c>
      <c r="E38" s="392">
        <f>0.85*47.2+0.77*11.5</f>
        <v>48.975000000000009</v>
      </c>
      <c r="F38" s="57"/>
      <c r="G38" s="34"/>
      <c r="H38" s="271"/>
      <c r="I38" s="34"/>
      <c r="J38" s="34"/>
      <c r="K38" s="34"/>
      <c r="L38" s="315"/>
      <c r="M38" s="315"/>
      <c r="N38" s="315"/>
      <c r="O38" s="315"/>
      <c r="P38" s="315"/>
      <c r="Q38" s="315"/>
    </row>
    <row r="39" spans="1:17" ht="22.5" x14ac:dyDescent="0.25">
      <c r="A39" s="52">
        <f>IF(COUNTBLANK(B39)=1," ",COUNTA($B$12:B39))</f>
        <v>15</v>
      </c>
      <c r="B39" s="9" t="s">
        <v>14</v>
      </c>
      <c r="C39" s="16" t="s">
        <v>316</v>
      </c>
      <c r="D39" s="729" t="s">
        <v>16</v>
      </c>
      <c r="E39" s="392">
        <v>58.7</v>
      </c>
      <c r="F39" s="57"/>
      <c r="G39" s="60"/>
      <c r="H39" s="446"/>
      <c r="I39" s="15"/>
      <c r="J39" s="440"/>
      <c r="K39" s="60"/>
      <c r="L39" s="315"/>
      <c r="M39" s="315"/>
      <c r="N39" s="315"/>
      <c r="O39" s="315"/>
      <c r="P39" s="315"/>
      <c r="Q39" s="315"/>
    </row>
    <row r="40" spans="1:17" ht="22.5" x14ac:dyDescent="0.25">
      <c r="A40" s="52" t="str">
        <f>IF(COUNTBLANK(B40)=1," ",COUNTA($B$12:B40))</f>
        <v xml:space="preserve"> </v>
      </c>
      <c r="B40" s="9"/>
      <c r="C40" s="16" t="s">
        <v>317</v>
      </c>
      <c r="D40" s="743" t="s">
        <v>26</v>
      </c>
      <c r="E40" s="392">
        <v>3</v>
      </c>
      <c r="F40" s="441"/>
      <c r="G40" s="34"/>
      <c r="H40" s="271"/>
      <c r="I40" s="34"/>
      <c r="J40" s="34"/>
      <c r="K40" s="34"/>
      <c r="L40" s="315"/>
      <c r="M40" s="315"/>
      <c r="N40" s="315"/>
      <c r="O40" s="315"/>
      <c r="P40" s="315"/>
      <c r="Q40" s="315"/>
    </row>
    <row r="41" spans="1:17" ht="22.5" x14ac:dyDescent="0.25">
      <c r="A41" s="52" t="str">
        <f>IF(COUNTBLANK(B41)=1," ",COUNTA($B$12:B41))</f>
        <v xml:space="preserve"> </v>
      </c>
      <c r="B41" s="9"/>
      <c r="C41" s="16" t="s">
        <v>318</v>
      </c>
      <c r="D41" s="743" t="s">
        <v>32</v>
      </c>
      <c r="E41" s="236">
        <v>16</v>
      </c>
      <c r="F41" s="441"/>
      <c r="G41" s="57"/>
      <c r="H41" s="57"/>
      <c r="I41" s="57"/>
      <c r="J41" s="57"/>
      <c r="K41" s="57"/>
      <c r="L41" s="315"/>
      <c r="M41" s="315"/>
      <c r="N41" s="315"/>
      <c r="O41" s="315"/>
      <c r="P41" s="315"/>
      <c r="Q41" s="315"/>
    </row>
    <row r="42" spans="1:17" ht="22.5" x14ac:dyDescent="0.25">
      <c r="A42" s="52" t="str">
        <f>IF(COUNTBLANK(B42)=1," ",COUNTA($B$12:B42))</f>
        <v xml:space="preserve"> </v>
      </c>
      <c r="B42" s="9"/>
      <c r="C42" s="16" t="s">
        <v>319</v>
      </c>
      <c r="D42" s="743" t="s">
        <v>23</v>
      </c>
      <c r="E42" s="392">
        <f>5.6*10.4</f>
        <v>58.239999999999995</v>
      </c>
      <c r="F42" s="441"/>
      <c r="G42" s="57"/>
      <c r="H42" s="57"/>
      <c r="I42" s="57"/>
      <c r="J42" s="57"/>
      <c r="K42" s="57"/>
      <c r="L42" s="315"/>
      <c r="M42" s="315"/>
      <c r="N42" s="315"/>
      <c r="O42" s="315"/>
      <c r="P42" s="315"/>
      <c r="Q42" s="315"/>
    </row>
    <row r="43" spans="1:17" ht="22.5" x14ac:dyDescent="0.25">
      <c r="A43" s="52" t="str">
        <f>IF(COUNTBLANK(B43)=1," ",COUNTA($B$12:B43))</f>
        <v xml:space="preserve"> </v>
      </c>
      <c r="B43" s="377"/>
      <c r="C43" s="16" t="s">
        <v>320</v>
      </c>
      <c r="D43" s="743" t="s">
        <v>23</v>
      </c>
      <c r="E43" s="392">
        <f>1.8*0.005*0.1*7800</f>
        <v>7.0200000000000014</v>
      </c>
      <c r="F43" s="441"/>
      <c r="G43" s="34"/>
      <c r="H43" s="271"/>
      <c r="I43" s="34"/>
      <c r="J43" s="34"/>
      <c r="K43" s="34"/>
      <c r="L43" s="315"/>
      <c r="M43" s="315"/>
      <c r="N43" s="315"/>
      <c r="O43" s="315"/>
      <c r="P43" s="315"/>
      <c r="Q43" s="315"/>
    </row>
    <row r="44" spans="1:17" x14ac:dyDescent="0.25">
      <c r="A44" s="52">
        <f>IF(COUNTBLANK(B44)=1," ",COUNTA($B$12:B44))</f>
        <v>16</v>
      </c>
      <c r="B44" s="9" t="s">
        <v>14</v>
      </c>
      <c r="C44" s="16" t="s">
        <v>294</v>
      </c>
      <c r="D44" s="743" t="s">
        <v>17</v>
      </c>
      <c r="E44" s="392">
        <v>3</v>
      </c>
      <c r="F44" s="57"/>
      <c r="G44" s="312"/>
      <c r="H44" s="446"/>
      <c r="I44" s="312"/>
      <c r="J44" s="312"/>
      <c r="K44" s="312"/>
      <c r="L44" s="315"/>
      <c r="M44" s="315"/>
      <c r="N44" s="315"/>
      <c r="O44" s="315"/>
      <c r="P44" s="315"/>
      <c r="Q44" s="315"/>
    </row>
    <row r="45" spans="1:17" s="140" customFormat="1" x14ac:dyDescent="0.25">
      <c r="A45" s="52">
        <f>IF(COUNTBLANK(B45)=1," ",COUNTA($B$12:B45))</f>
        <v>17</v>
      </c>
      <c r="B45" s="9" t="s">
        <v>14</v>
      </c>
      <c r="C45" s="728" t="s">
        <v>321</v>
      </c>
      <c r="D45" s="743" t="s">
        <v>17</v>
      </c>
      <c r="E45" s="392">
        <v>1.5</v>
      </c>
      <c r="F45" s="443"/>
      <c r="G45" s="437"/>
      <c r="H45" s="446"/>
      <c r="I45" s="438"/>
      <c r="J45" s="439"/>
      <c r="K45" s="438"/>
      <c r="L45" s="315"/>
      <c r="M45" s="315"/>
      <c r="N45" s="315"/>
      <c r="O45" s="315"/>
      <c r="P45" s="315"/>
      <c r="Q45" s="315"/>
    </row>
    <row r="46" spans="1:17" s="140" customFormat="1" x14ac:dyDescent="0.25">
      <c r="A46" s="52" t="str">
        <f>IF(COUNTBLANK(B46)=1," ",COUNTA($B$12:B46))</f>
        <v xml:space="preserve"> </v>
      </c>
      <c r="B46" s="743"/>
      <c r="C46" s="718" t="s">
        <v>436</v>
      </c>
      <c r="D46" s="729" t="s">
        <v>26</v>
      </c>
      <c r="E46" s="211">
        <f>E45*F46</f>
        <v>4.4999999999999998E-2</v>
      </c>
      <c r="F46" s="443">
        <v>0.03</v>
      </c>
      <c r="G46" s="437"/>
      <c r="H46" s="437"/>
      <c r="I46" s="438"/>
      <c r="J46" s="439"/>
      <c r="K46" s="438"/>
      <c r="L46" s="315"/>
      <c r="M46" s="315"/>
      <c r="N46" s="315"/>
      <c r="O46" s="315"/>
      <c r="P46" s="315"/>
      <c r="Q46" s="315"/>
    </row>
    <row r="47" spans="1:17" s="140" customFormat="1" x14ac:dyDescent="0.25">
      <c r="A47" s="52" t="str">
        <f>IF(COUNTBLANK(B47)=1," ",COUNTA($B$12:B47))</f>
        <v xml:space="preserve"> </v>
      </c>
      <c r="B47" s="743"/>
      <c r="C47" s="14" t="s">
        <v>437</v>
      </c>
      <c r="D47" s="743" t="s">
        <v>17</v>
      </c>
      <c r="E47" s="209">
        <f>ROUNDUP(E45*F47,0)</f>
        <v>2</v>
      </c>
      <c r="F47" s="443">
        <v>1.1000000000000001</v>
      </c>
      <c r="G47" s="437"/>
      <c r="H47" s="437"/>
      <c r="I47" s="438"/>
      <c r="J47" s="439"/>
      <c r="K47" s="438"/>
      <c r="L47" s="315"/>
      <c r="M47" s="315"/>
      <c r="N47" s="315"/>
      <c r="O47" s="315"/>
      <c r="P47" s="315"/>
      <c r="Q47" s="315"/>
    </row>
    <row r="48" spans="1:17" ht="22.5" x14ac:dyDescent="0.25">
      <c r="A48" s="52" t="str">
        <f>IF(COUNTBLANK(B48)=1," ",COUNTA($B$12:B48))</f>
        <v xml:space="preserve"> </v>
      </c>
      <c r="B48" s="377"/>
      <c r="C48" s="717" t="s">
        <v>322</v>
      </c>
      <c r="D48" s="53"/>
      <c r="E48" s="53"/>
      <c r="F48" s="60"/>
      <c r="G48" s="136"/>
      <c r="H48" s="271"/>
      <c r="I48" s="136"/>
      <c r="J48" s="306"/>
      <c r="K48" s="136"/>
      <c r="L48" s="315"/>
      <c r="M48" s="315"/>
      <c r="N48" s="315"/>
      <c r="O48" s="315"/>
      <c r="P48" s="315"/>
      <c r="Q48" s="315"/>
    </row>
    <row r="49" spans="1:17" ht="22.5" x14ac:dyDescent="0.25">
      <c r="A49" s="52" t="str">
        <f>IF(COUNTBLANK(B49)=1," ",COUNTA($B$12:B49))</f>
        <v xml:space="preserve"> </v>
      </c>
      <c r="B49" s="664"/>
      <c r="C49" s="663" t="s">
        <v>323</v>
      </c>
      <c r="D49" s="664"/>
      <c r="E49" s="665"/>
      <c r="F49" s="60"/>
      <c r="G49" s="136"/>
      <c r="H49" s="271"/>
      <c r="I49" s="136"/>
      <c r="J49" s="306"/>
      <c r="K49" s="136"/>
      <c r="L49" s="315"/>
      <c r="M49" s="315"/>
      <c r="N49" s="315"/>
      <c r="O49" s="315"/>
      <c r="P49" s="315"/>
      <c r="Q49" s="315"/>
    </row>
    <row r="50" spans="1:17" ht="22.5" x14ac:dyDescent="0.25">
      <c r="A50" s="52" t="str">
        <f>IF(COUNTBLANK(B50)=1," ",COUNTA($B$12:B50))</f>
        <v xml:space="preserve"> </v>
      </c>
      <c r="B50" s="377"/>
      <c r="C50" s="14" t="s">
        <v>745</v>
      </c>
      <c r="D50" s="743"/>
      <c r="E50" s="377"/>
      <c r="F50" s="60"/>
      <c r="G50" s="136"/>
      <c r="H50" s="271"/>
      <c r="I50" s="136"/>
      <c r="J50" s="306"/>
      <c r="K50" s="136"/>
      <c r="L50" s="315"/>
      <c r="M50" s="315"/>
      <c r="N50" s="315"/>
      <c r="O50" s="315"/>
      <c r="P50" s="315"/>
      <c r="Q50" s="315"/>
    </row>
    <row r="51" spans="1:17" ht="22.5" x14ac:dyDescent="0.25">
      <c r="A51" s="52">
        <f>IF(COUNTBLANK(B51)=1," ",COUNTA($B$12:B51))</f>
        <v>18</v>
      </c>
      <c r="B51" s="9" t="s">
        <v>14</v>
      </c>
      <c r="C51" s="14" t="s">
        <v>324</v>
      </c>
      <c r="D51" s="743" t="s">
        <v>17</v>
      </c>
      <c r="E51" s="377">
        <f>106*1.2</f>
        <v>127.19999999999999</v>
      </c>
      <c r="F51" s="60"/>
      <c r="G51" s="437"/>
      <c r="H51" s="446"/>
      <c r="I51" s="438"/>
      <c r="J51" s="439"/>
      <c r="K51" s="438"/>
      <c r="L51" s="315"/>
      <c r="M51" s="315"/>
      <c r="N51" s="315"/>
      <c r="O51" s="315"/>
      <c r="P51" s="315"/>
      <c r="Q51" s="315"/>
    </row>
    <row r="52" spans="1:17" ht="22.5" x14ac:dyDescent="0.25">
      <c r="A52" s="52">
        <f>IF(COUNTBLANK(B52)=1," ",COUNTA($B$12:B52))</f>
        <v>19</v>
      </c>
      <c r="B52" s="9" t="s">
        <v>14</v>
      </c>
      <c r="C52" s="14" t="s">
        <v>325</v>
      </c>
      <c r="D52" s="743" t="s">
        <v>17</v>
      </c>
      <c r="E52" s="377">
        <f>0.3*130</f>
        <v>39</v>
      </c>
      <c r="F52" s="60"/>
      <c r="G52" s="437"/>
      <c r="H52" s="446"/>
      <c r="I52" s="438"/>
      <c r="J52" s="439"/>
      <c r="K52" s="438"/>
      <c r="L52" s="315"/>
      <c r="M52" s="315"/>
      <c r="N52" s="315"/>
      <c r="O52" s="315"/>
      <c r="P52" s="315"/>
      <c r="Q52" s="315"/>
    </row>
    <row r="53" spans="1:17" ht="22.5" x14ac:dyDescent="0.25">
      <c r="A53" s="52">
        <f>IF(COUNTBLANK(B53)=1," ",COUNTA($B$12:B53))</f>
        <v>20</v>
      </c>
      <c r="B53" s="9" t="s">
        <v>14</v>
      </c>
      <c r="C53" s="14" t="s">
        <v>853</v>
      </c>
      <c r="D53" s="743" t="s">
        <v>16</v>
      </c>
      <c r="E53" s="377">
        <v>106</v>
      </c>
      <c r="F53" s="60"/>
      <c r="G53" s="437"/>
      <c r="H53" s="446"/>
      <c r="I53" s="438"/>
      <c r="J53" s="439"/>
      <c r="K53" s="438"/>
      <c r="L53" s="315"/>
      <c r="M53" s="315"/>
      <c r="N53" s="315"/>
      <c r="O53" s="315"/>
      <c r="P53" s="315"/>
      <c r="Q53" s="315"/>
    </row>
    <row r="54" spans="1:17" ht="22.5" x14ac:dyDescent="0.25">
      <c r="A54" s="52">
        <f>IF(COUNTBLANK(B54)=1," ",COUNTA($B$12:B54))</f>
        <v>21</v>
      </c>
      <c r="B54" s="9" t="s">
        <v>14</v>
      </c>
      <c r="C54" s="14" t="s">
        <v>738</v>
      </c>
      <c r="D54" s="743" t="s">
        <v>26</v>
      </c>
      <c r="E54" s="10">
        <f>122*0.1*0.2</f>
        <v>2.4400000000000004</v>
      </c>
      <c r="F54" s="60"/>
      <c r="G54" s="312"/>
      <c r="H54" s="446"/>
      <c r="I54" s="312"/>
      <c r="J54" s="444"/>
      <c r="K54" s="312"/>
      <c r="L54" s="315"/>
      <c r="M54" s="315"/>
      <c r="N54" s="315"/>
      <c r="O54" s="315"/>
      <c r="P54" s="315"/>
      <c r="Q54" s="315"/>
    </row>
    <row r="55" spans="1:17" ht="22.5" x14ac:dyDescent="0.25">
      <c r="A55" s="52">
        <f>IF(COUNTBLANK(B55)=1," ",COUNTA($B$12:B55))</f>
        <v>22</v>
      </c>
      <c r="B55" s="9" t="s">
        <v>14</v>
      </c>
      <c r="C55" s="14" t="s">
        <v>327</v>
      </c>
      <c r="D55" s="743" t="s">
        <v>23</v>
      </c>
      <c r="E55" s="53">
        <f>24.4*10.79</f>
        <v>263.27599999999995</v>
      </c>
      <c r="F55" s="60"/>
      <c r="G55" s="437"/>
      <c r="H55" s="446"/>
      <c r="I55" s="438"/>
      <c r="J55" s="439"/>
      <c r="K55" s="438"/>
      <c r="L55" s="315"/>
      <c r="M55" s="315"/>
      <c r="N55" s="315"/>
      <c r="O55" s="315"/>
      <c r="P55" s="315"/>
      <c r="Q55" s="315"/>
    </row>
    <row r="56" spans="1:17" x14ac:dyDescent="0.25">
      <c r="A56" s="52">
        <f>IF(COUNTBLANK(B56)=1," ",COUNTA($B$12:B56))</f>
        <v>23</v>
      </c>
      <c r="B56" s="9" t="s">
        <v>14</v>
      </c>
      <c r="C56" s="14" t="s">
        <v>328</v>
      </c>
      <c r="D56" s="743" t="s">
        <v>17</v>
      </c>
      <c r="E56" s="53">
        <v>11</v>
      </c>
      <c r="F56" s="60"/>
      <c r="G56" s="312"/>
      <c r="H56" s="446"/>
      <c r="I56" s="312"/>
      <c r="J56" s="312"/>
      <c r="K56" s="312"/>
      <c r="L56" s="315"/>
      <c r="M56" s="315"/>
      <c r="N56" s="315"/>
      <c r="O56" s="315"/>
      <c r="P56" s="315"/>
      <c r="Q56" s="315"/>
    </row>
    <row r="57" spans="1:17" x14ac:dyDescent="0.25">
      <c r="A57" s="52" t="str">
        <f>IF(COUNTBLANK(B57)=1," ",COUNTA($B$12:B57))</f>
        <v xml:space="preserve"> </v>
      </c>
      <c r="B57" s="377"/>
      <c r="C57" s="14" t="s">
        <v>329</v>
      </c>
      <c r="D57" s="743" t="s">
        <v>32</v>
      </c>
      <c r="E57" s="377">
        <v>244</v>
      </c>
      <c r="F57" s="60"/>
      <c r="G57" s="136"/>
      <c r="H57" s="271"/>
      <c r="I57" s="136"/>
      <c r="J57" s="306"/>
      <c r="K57" s="136"/>
      <c r="L57" s="315"/>
      <c r="M57" s="315"/>
      <c r="N57" s="315"/>
      <c r="O57" s="315"/>
      <c r="P57" s="315"/>
      <c r="Q57" s="315"/>
    </row>
    <row r="58" spans="1:17" x14ac:dyDescent="0.25">
      <c r="A58" s="52" t="str">
        <f>IF(COUNTBLANK(B58)=1," ",COUNTA($B$12:B58))</f>
        <v xml:space="preserve"> </v>
      </c>
      <c r="B58" s="377"/>
      <c r="C58" s="14" t="s">
        <v>330</v>
      </c>
      <c r="D58" s="743" t="s">
        <v>32</v>
      </c>
      <c r="E58" s="377">
        <v>244</v>
      </c>
      <c r="F58" s="60"/>
      <c r="G58" s="136"/>
      <c r="H58" s="271"/>
      <c r="I58" s="136"/>
      <c r="J58" s="306"/>
      <c r="K58" s="136"/>
      <c r="L58" s="315"/>
      <c r="M58" s="315"/>
      <c r="N58" s="315"/>
      <c r="O58" s="315"/>
      <c r="P58" s="315"/>
      <c r="Q58" s="315"/>
    </row>
    <row r="59" spans="1:17" ht="22.5" x14ac:dyDescent="0.25">
      <c r="A59" s="52"/>
      <c r="B59" s="377"/>
      <c r="C59" s="54" t="s">
        <v>722</v>
      </c>
      <c r="D59" s="743" t="s">
        <v>26</v>
      </c>
      <c r="E59" s="10">
        <v>1.38</v>
      </c>
      <c r="F59" s="60"/>
      <c r="G59" s="136"/>
      <c r="H59" s="446"/>
      <c r="I59" s="136"/>
      <c r="J59" s="306"/>
      <c r="K59" s="136"/>
      <c r="L59" s="315"/>
      <c r="M59" s="315"/>
      <c r="N59" s="315"/>
      <c r="O59" s="315"/>
      <c r="P59" s="315"/>
      <c r="Q59" s="315"/>
    </row>
    <row r="60" spans="1:17" x14ac:dyDescent="0.25">
      <c r="A60" s="52"/>
      <c r="B60" s="377"/>
      <c r="C60" s="14" t="s">
        <v>723</v>
      </c>
      <c r="D60" s="743" t="s">
        <v>32</v>
      </c>
      <c r="E60" s="377">
        <v>250</v>
      </c>
      <c r="F60" s="60"/>
      <c r="G60" s="136"/>
      <c r="H60" s="446"/>
      <c r="I60" s="136"/>
      <c r="J60" s="306"/>
      <c r="K60" s="136"/>
      <c r="L60" s="315"/>
      <c r="M60" s="315"/>
      <c r="N60" s="315"/>
      <c r="O60" s="315"/>
      <c r="P60" s="315"/>
      <c r="Q60" s="315"/>
    </row>
    <row r="61" spans="1:17" x14ac:dyDescent="0.25">
      <c r="A61" s="52">
        <f>IF(COUNTBLANK(B61)=1," ",COUNTA($B$12:B61))</f>
        <v>24</v>
      </c>
      <c r="B61" s="9" t="s">
        <v>14</v>
      </c>
      <c r="C61" s="54" t="s">
        <v>854</v>
      </c>
      <c r="D61" s="743" t="s">
        <v>26</v>
      </c>
      <c r="E61" s="377">
        <f>0.2*106*1.1</f>
        <v>23.320000000000004</v>
      </c>
      <c r="F61" s="60"/>
      <c r="G61" s="312"/>
      <c r="H61" s="446"/>
      <c r="I61" s="312"/>
      <c r="J61" s="312"/>
      <c r="K61" s="312"/>
      <c r="L61" s="315"/>
      <c r="M61" s="315"/>
      <c r="N61" s="315"/>
      <c r="O61" s="315"/>
      <c r="P61" s="315"/>
      <c r="Q61" s="315"/>
    </row>
    <row r="62" spans="1:17" ht="22.5" x14ac:dyDescent="0.25">
      <c r="A62" s="52">
        <f>IF(COUNTBLANK(B62)=1," ",COUNTA($B$12:B62))</f>
        <v>25</v>
      </c>
      <c r="B62" s="9" t="s">
        <v>14</v>
      </c>
      <c r="C62" s="14" t="s">
        <v>331</v>
      </c>
      <c r="D62" s="743" t="s">
        <v>16</v>
      </c>
      <c r="E62" s="377">
        <v>106</v>
      </c>
      <c r="F62" s="60"/>
      <c r="G62" s="60"/>
      <c r="H62" s="446"/>
      <c r="I62" s="15"/>
      <c r="J62" s="440"/>
      <c r="K62" s="60"/>
      <c r="L62" s="315"/>
      <c r="M62" s="315"/>
      <c r="N62" s="315"/>
      <c r="O62" s="315"/>
      <c r="P62" s="315"/>
      <c r="Q62" s="315"/>
    </row>
    <row r="63" spans="1:17" ht="22.5" x14ac:dyDescent="0.25">
      <c r="A63" s="52" t="str">
        <f>IF(COUNTBLANK(B63)=1," ",COUNTA($B$12:B63))</f>
        <v xml:space="preserve"> </v>
      </c>
      <c r="B63" s="377"/>
      <c r="C63" s="14" t="s">
        <v>884</v>
      </c>
      <c r="D63" s="743" t="s">
        <v>17</v>
      </c>
      <c r="E63" s="377">
        <f>0.5*106</f>
        <v>53</v>
      </c>
      <c r="F63" s="60"/>
      <c r="G63" s="136"/>
      <c r="H63" s="271"/>
      <c r="I63" s="136"/>
      <c r="J63" s="306"/>
      <c r="K63" s="136"/>
      <c r="L63" s="315"/>
      <c r="M63" s="315"/>
      <c r="N63" s="315"/>
      <c r="O63" s="315"/>
      <c r="P63" s="315"/>
      <c r="Q63" s="315"/>
    </row>
    <row r="64" spans="1:17" ht="33.75" x14ac:dyDescent="0.25">
      <c r="A64" s="52" t="str">
        <f>IF(COUNTBLANK(B64)=1," ",COUNTA($B$12:B64))</f>
        <v xml:space="preserve"> </v>
      </c>
      <c r="B64" s="377"/>
      <c r="C64" s="14" t="s">
        <v>332</v>
      </c>
      <c r="D64" s="743" t="s">
        <v>23</v>
      </c>
      <c r="E64" s="377">
        <f>49*0.004*0.05*7800</f>
        <v>76.440000000000012</v>
      </c>
      <c r="F64" s="60"/>
      <c r="G64" s="136"/>
      <c r="H64" s="271"/>
      <c r="I64" s="136"/>
      <c r="J64" s="306"/>
      <c r="K64" s="136"/>
      <c r="L64" s="315"/>
      <c r="M64" s="315"/>
      <c r="N64" s="315"/>
      <c r="O64" s="315"/>
      <c r="P64" s="315"/>
      <c r="Q64" s="315"/>
    </row>
    <row r="65" spans="1:17" x14ac:dyDescent="0.25">
      <c r="A65" s="52" t="str">
        <f>IF(COUNTBLANK(B65)=1," ",COUNTA($B$12:B65))</f>
        <v xml:space="preserve"> </v>
      </c>
      <c r="B65" s="377"/>
      <c r="C65" s="14" t="s">
        <v>333</v>
      </c>
      <c r="D65" s="743" t="s">
        <v>32</v>
      </c>
      <c r="E65" s="377">
        <v>244</v>
      </c>
      <c r="F65" s="60"/>
      <c r="G65" s="136"/>
      <c r="H65" s="271"/>
      <c r="I65" s="136"/>
      <c r="J65" s="306"/>
      <c r="K65" s="136"/>
      <c r="L65" s="315"/>
      <c r="M65" s="315"/>
      <c r="N65" s="315"/>
      <c r="O65" s="315"/>
      <c r="P65" s="315"/>
      <c r="Q65" s="315"/>
    </row>
    <row r="66" spans="1:17" ht="22.5" x14ac:dyDescent="0.25">
      <c r="A66" s="52" t="str">
        <f>IF(COUNTBLANK(B66)=1," ",COUNTA($B$12:B66))</f>
        <v xml:space="preserve"> </v>
      </c>
      <c r="B66" s="377"/>
      <c r="C66" s="14" t="s">
        <v>334</v>
      </c>
      <c r="D66" s="743" t="s">
        <v>23</v>
      </c>
      <c r="E66" s="377">
        <f>171*0.004*0.04*7800</f>
        <v>213.40800000000002</v>
      </c>
      <c r="F66" s="60"/>
      <c r="G66" s="136"/>
      <c r="H66" s="271"/>
      <c r="I66" s="136"/>
      <c r="J66" s="306"/>
      <c r="K66" s="136"/>
      <c r="L66" s="315"/>
      <c r="M66" s="315"/>
      <c r="N66" s="315"/>
      <c r="O66" s="315"/>
      <c r="P66" s="315"/>
      <c r="Q66" s="315"/>
    </row>
    <row r="67" spans="1:17" ht="22.5" x14ac:dyDescent="0.25">
      <c r="A67" s="52" t="str">
        <f>IF(COUNTBLANK(B67)=1," ",COUNTA($B$12:B67))</f>
        <v xml:space="preserve"> </v>
      </c>
      <c r="B67" s="377"/>
      <c r="C67" s="14" t="s">
        <v>335</v>
      </c>
      <c r="D67" s="743" t="s">
        <v>32</v>
      </c>
      <c r="E67" s="377">
        <v>244</v>
      </c>
      <c r="F67" s="60"/>
      <c r="G67" s="136"/>
      <c r="H67" s="271"/>
      <c r="I67" s="136"/>
      <c r="J67" s="306"/>
      <c r="K67" s="136"/>
      <c r="L67" s="315"/>
      <c r="M67" s="315"/>
      <c r="N67" s="315"/>
      <c r="O67" s="315"/>
      <c r="P67" s="315"/>
      <c r="Q67" s="315"/>
    </row>
    <row r="68" spans="1:17" ht="22.5" x14ac:dyDescent="0.25">
      <c r="A68" s="52" t="str">
        <f>IF(COUNTBLANK(B68)=1," ",COUNTA($B$12:B68))</f>
        <v xml:space="preserve"> </v>
      </c>
      <c r="B68" s="377"/>
      <c r="C68" s="14" t="s">
        <v>336</v>
      </c>
      <c r="D68" s="743" t="s">
        <v>17</v>
      </c>
      <c r="E68" s="377">
        <f>122*0.75</f>
        <v>91.5</v>
      </c>
      <c r="F68" s="60"/>
      <c r="G68" s="136"/>
      <c r="H68" s="271"/>
      <c r="I68" s="136"/>
      <c r="J68" s="306"/>
      <c r="K68" s="136"/>
      <c r="L68" s="315"/>
      <c r="M68" s="315"/>
      <c r="N68" s="315"/>
      <c r="O68" s="315"/>
      <c r="P68" s="315"/>
      <c r="Q68" s="315"/>
    </row>
    <row r="69" spans="1:17" x14ac:dyDescent="0.25">
      <c r="A69" s="52">
        <f>IF(COUNTBLANK(B69)=1," ",COUNTA($B$12:B69))</f>
        <v>26</v>
      </c>
      <c r="B69" s="9" t="s">
        <v>14</v>
      </c>
      <c r="C69" s="14" t="s">
        <v>337</v>
      </c>
      <c r="D69" s="743" t="s">
        <v>17</v>
      </c>
      <c r="E69" s="377">
        <f>0.05*2*49+0.04*2*171</f>
        <v>18.579999999999998</v>
      </c>
      <c r="F69" s="60"/>
      <c r="G69" s="312"/>
      <c r="H69" s="446"/>
      <c r="I69" s="312"/>
      <c r="J69" s="312"/>
      <c r="K69" s="312"/>
      <c r="L69" s="315"/>
      <c r="M69" s="315"/>
      <c r="N69" s="315"/>
      <c r="O69" s="315"/>
      <c r="P69" s="315"/>
      <c r="Q69" s="315"/>
    </row>
    <row r="70" spans="1:17" x14ac:dyDescent="0.25">
      <c r="A70" s="52"/>
      <c r="B70" s="9"/>
      <c r="C70" s="50" t="s">
        <v>734</v>
      </c>
      <c r="D70" s="19" t="s">
        <v>17</v>
      </c>
      <c r="E70" s="225">
        <v>164.3</v>
      </c>
      <c r="F70" s="60"/>
      <c r="G70" s="312"/>
      <c r="H70" s="446"/>
      <c r="I70" s="312"/>
      <c r="J70" s="312"/>
      <c r="K70" s="312"/>
      <c r="L70" s="315"/>
      <c r="M70" s="315"/>
      <c r="N70" s="315"/>
      <c r="O70" s="315"/>
      <c r="P70" s="315"/>
      <c r="Q70" s="315"/>
    </row>
    <row r="71" spans="1:17" s="94" customFormat="1" x14ac:dyDescent="0.25">
      <c r="A71" s="52">
        <f>IF(COUNTBLANK(B71)=1," ",COUNTA($B$12:B71))</f>
        <v>27</v>
      </c>
      <c r="B71" s="9" t="s">
        <v>14</v>
      </c>
      <c r="C71" s="719" t="s">
        <v>733</v>
      </c>
      <c r="D71" s="204" t="s">
        <v>17</v>
      </c>
      <c r="E71" s="652"/>
      <c r="F71" s="445"/>
      <c r="G71" s="136"/>
      <c r="H71" s="446"/>
      <c r="I71" s="136"/>
      <c r="J71" s="58"/>
      <c r="K71" s="58"/>
      <c r="L71" s="315"/>
      <c r="M71" s="315"/>
      <c r="N71" s="315"/>
      <c r="O71" s="315"/>
      <c r="P71" s="315"/>
      <c r="Q71" s="315"/>
    </row>
    <row r="72" spans="1:17" ht="22.5" x14ac:dyDescent="0.25">
      <c r="A72" s="52" t="str">
        <f>IF(COUNTBLANK(B72)=1," ",COUNTA($B$12:B72))</f>
        <v xml:space="preserve"> </v>
      </c>
      <c r="B72" s="377"/>
      <c r="C72" s="14" t="s">
        <v>885</v>
      </c>
      <c r="D72" s="743" t="s">
        <v>17</v>
      </c>
      <c r="E72" s="53">
        <f>1.55*106</f>
        <v>164.3</v>
      </c>
      <c r="F72" s="60"/>
      <c r="G72" s="136"/>
      <c r="H72" s="271"/>
      <c r="I72" s="136"/>
      <c r="J72" s="310"/>
      <c r="K72" s="136"/>
      <c r="L72" s="315"/>
      <c r="M72" s="315"/>
      <c r="N72" s="315"/>
      <c r="O72" s="315"/>
      <c r="P72" s="315"/>
      <c r="Q72" s="315"/>
    </row>
    <row r="73" spans="1:17" ht="22.5" x14ac:dyDescent="0.25">
      <c r="A73" s="52" t="str">
        <f>IF(COUNTBLANK(B73)=1," ",COUNTA($B$12:B73))</f>
        <v xml:space="preserve"> </v>
      </c>
      <c r="B73" s="377"/>
      <c r="C73" s="14" t="s">
        <v>886</v>
      </c>
      <c r="D73" s="743" t="s">
        <v>17</v>
      </c>
      <c r="E73" s="53">
        <f>1.55*106</f>
        <v>164.3</v>
      </c>
      <c r="F73" s="60"/>
      <c r="G73" s="136"/>
      <c r="H73" s="271"/>
      <c r="I73" s="136"/>
      <c r="J73" s="310"/>
      <c r="K73" s="136"/>
      <c r="L73" s="315"/>
      <c r="M73" s="315"/>
      <c r="N73" s="315"/>
      <c r="O73" s="315"/>
      <c r="P73" s="315"/>
      <c r="Q73" s="315"/>
    </row>
    <row r="74" spans="1:17" x14ac:dyDescent="0.25">
      <c r="A74" s="52" t="str">
        <f>IF(COUNTBLANK(B74)=1," ",COUNTA($B$12:B74))</f>
        <v xml:space="preserve"> </v>
      </c>
      <c r="B74" s="377"/>
      <c r="C74" s="14" t="s">
        <v>438</v>
      </c>
      <c r="D74" s="743" t="s">
        <v>439</v>
      </c>
      <c r="E74" s="53">
        <v>3</v>
      </c>
      <c r="F74" s="60"/>
      <c r="G74" s="136"/>
      <c r="H74" s="271"/>
      <c r="I74" s="136"/>
      <c r="J74" s="310"/>
      <c r="K74" s="136"/>
      <c r="L74" s="315"/>
      <c r="M74" s="315"/>
      <c r="N74" s="315"/>
      <c r="O74" s="315"/>
      <c r="P74" s="315"/>
      <c r="Q74" s="315"/>
    </row>
    <row r="75" spans="1:17" ht="22.5" x14ac:dyDescent="0.25">
      <c r="A75" s="52" t="str">
        <f>IF(COUNTBLANK(B75)=1," ",COUNTA($B$12:B75))</f>
        <v xml:space="preserve"> </v>
      </c>
      <c r="B75" s="377"/>
      <c r="C75" s="14" t="s">
        <v>739</v>
      </c>
      <c r="D75" s="743"/>
      <c r="E75" s="53"/>
      <c r="F75" s="60"/>
      <c r="G75" s="136"/>
      <c r="H75" s="271"/>
      <c r="I75" s="136"/>
      <c r="J75" s="306"/>
      <c r="K75" s="136"/>
      <c r="L75" s="315"/>
      <c r="M75" s="315"/>
      <c r="N75" s="315"/>
      <c r="O75" s="315"/>
      <c r="P75" s="315"/>
      <c r="Q75" s="315"/>
    </row>
    <row r="76" spans="1:17" ht="22.5" x14ac:dyDescent="0.25">
      <c r="A76" s="52" t="s">
        <v>740</v>
      </c>
      <c r="B76" s="9" t="s">
        <v>14</v>
      </c>
      <c r="C76" s="14" t="s">
        <v>855</v>
      </c>
      <c r="D76" s="743" t="s">
        <v>17</v>
      </c>
      <c r="E76" s="53">
        <f>0.3*110</f>
        <v>33</v>
      </c>
      <c r="F76" s="60"/>
      <c r="G76" s="136"/>
      <c r="H76" s="446"/>
      <c r="I76" s="136"/>
      <c r="J76" s="58"/>
      <c r="K76" s="58"/>
      <c r="L76" s="315"/>
      <c r="M76" s="315"/>
      <c r="N76" s="315"/>
      <c r="O76" s="315"/>
      <c r="P76" s="315"/>
      <c r="Q76" s="315"/>
    </row>
    <row r="77" spans="1:17" x14ac:dyDescent="0.25">
      <c r="A77" s="52">
        <f>IF(COUNTBLANK(B77)=1," ",COUNTA($B$12:B77))</f>
        <v>29</v>
      </c>
      <c r="B77" s="9" t="s">
        <v>14</v>
      </c>
      <c r="C77" s="14" t="s">
        <v>338</v>
      </c>
      <c r="D77" s="743" t="s">
        <v>16</v>
      </c>
      <c r="E77" s="53">
        <v>110</v>
      </c>
      <c r="F77" s="60"/>
      <c r="G77" s="136"/>
      <c r="H77" s="446"/>
      <c r="I77" s="136"/>
      <c r="J77" s="58"/>
      <c r="K77" s="58"/>
      <c r="L77" s="315"/>
      <c r="M77" s="315"/>
      <c r="N77" s="315"/>
      <c r="O77" s="315"/>
      <c r="P77" s="315"/>
      <c r="Q77" s="315"/>
    </row>
    <row r="78" spans="1:17" s="94" customFormat="1" ht="22.5" x14ac:dyDescent="0.25">
      <c r="A78" s="52">
        <f>IF(COUNTBLANK(B78)=1," ",COUNTA($B$12:B78))</f>
        <v>30</v>
      </c>
      <c r="B78" s="9" t="s">
        <v>14</v>
      </c>
      <c r="C78" s="14" t="s">
        <v>741</v>
      </c>
      <c r="D78" s="743" t="s">
        <v>17</v>
      </c>
      <c r="E78" s="53">
        <f>1.05*110</f>
        <v>115.5</v>
      </c>
      <c r="F78" s="445"/>
      <c r="G78" s="136"/>
      <c r="H78" s="446"/>
      <c r="I78" s="136"/>
      <c r="J78" s="58"/>
      <c r="K78" s="58"/>
      <c r="L78" s="315"/>
      <c r="M78" s="315"/>
      <c r="N78" s="315"/>
      <c r="O78" s="315"/>
      <c r="P78" s="315"/>
      <c r="Q78" s="315"/>
    </row>
    <row r="79" spans="1:17" ht="22.5" x14ac:dyDescent="0.25">
      <c r="A79" s="52" t="str">
        <f>IF(COUNTBLANK(B79)=1," ",COUNTA($B$12:B79))</f>
        <v xml:space="preserve"> </v>
      </c>
      <c r="B79" s="377"/>
      <c r="C79" s="14" t="s">
        <v>885</v>
      </c>
      <c r="D79" s="743" t="s">
        <v>17</v>
      </c>
      <c r="E79" s="53">
        <f>1.55*106</f>
        <v>164.3</v>
      </c>
      <c r="F79" s="60"/>
      <c r="G79" s="136"/>
      <c r="H79" s="271"/>
      <c r="I79" s="136"/>
      <c r="J79" s="310"/>
      <c r="K79" s="136"/>
      <c r="L79" s="315"/>
      <c r="M79" s="315"/>
      <c r="N79" s="315"/>
      <c r="O79" s="315"/>
      <c r="P79" s="315"/>
      <c r="Q79" s="315"/>
    </row>
    <row r="80" spans="1:17" ht="22.5" x14ac:dyDescent="0.25">
      <c r="A80" s="52" t="str">
        <f>IF(COUNTBLANK(B80)=1," ",COUNTA($B$12:B80))</f>
        <v xml:space="preserve"> </v>
      </c>
      <c r="B80" s="377"/>
      <c r="C80" s="14" t="s">
        <v>886</v>
      </c>
      <c r="D80" s="743" t="s">
        <v>17</v>
      </c>
      <c r="E80" s="53">
        <f>1.55*106</f>
        <v>164.3</v>
      </c>
      <c r="F80" s="60"/>
      <c r="G80" s="136"/>
      <c r="H80" s="271"/>
      <c r="I80" s="136"/>
      <c r="J80" s="310"/>
      <c r="K80" s="136"/>
      <c r="L80" s="315"/>
      <c r="M80" s="315"/>
      <c r="N80" s="315"/>
      <c r="O80" s="315"/>
      <c r="P80" s="315"/>
      <c r="Q80" s="315"/>
    </row>
    <row r="81" spans="1:177" x14ac:dyDescent="0.25">
      <c r="A81" s="52" t="str">
        <f>IF(COUNTBLANK(B81)=1," ",COUNTA($B$12:B81))</f>
        <v xml:space="preserve"> </v>
      </c>
      <c r="B81" s="377"/>
      <c r="C81" s="14" t="s">
        <v>438</v>
      </c>
      <c r="D81" s="743" t="s">
        <v>439</v>
      </c>
      <c r="E81" s="53">
        <v>3</v>
      </c>
      <c r="F81" s="60"/>
      <c r="G81" s="136"/>
      <c r="H81" s="271"/>
      <c r="I81" s="136"/>
      <c r="J81" s="310"/>
      <c r="K81" s="136"/>
      <c r="L81" s="315"/>
      <c r="M81" s="315"/>
      <c r="N81" s="315"/>
      <c r="O81" s="315"/>
      <c r="P81" s="315"/>
      <c r="Q81" s="315"/>
    </row>
    <row r="82" spans="1:177" ht="22.5" x14ac:dyDescent="0.25">
      <c r="A82" s="52">
        <f>IF(COUNTBLANK(B82)=1," ",COUNTA($B$12:B82))</f>
        <v>31</v>
      </c>
      <c r="B82" s="9" t="s">
        <v>14</v>
      </c>
      <c r="C82" s="14" t="s">
        <v>339</v>
      </c>
      <c r="D82" s="743" t="s">
        <v>16</v>
      </c>
      <c r="E82" s="53">
        <v>110</v>
      </c>
      <c r="F82" s="60"/>
      <c r="G82" s="136"/>
      <c r="H82" s="446"/>
      <c r="I82" s="136"/>
      <c r="J82" s="58"/>
      <c r="K82" s="58"/>
      <c r="L82" s="315"/>
      <c r="M82" s="315"/>
      <c r="N82" s="315"/>
      <c r="O82" s="315"/>
      <c r="P82" s="315"/>
      <c r="Q82" s="315"/>
    </row>
    <row r="83" spans="1:177" ht="22.5" x14ac:dyDescent="0.25">
      <c r="A83" s="52">
        <f>IF(COUNTBLANK(B83)=1," ",COUNTA($B$12:B83))</f>
        <v>32</v>
      </c>
      <c r="B83" s="9" t="s">
        <v>14</v>
      </c>
      <c r="C83" s="14" t="s">
        <v>340</v>
      </c>
      <c r="D83" s="743" t="s">
        <v>16</v>
      </c>
      <c r="E83" s="53">
        <v>110</v>
      </c>
      <c r="F83" s="60"/>
      <c r="G83" s="10"/>
      <c r="H83" s="446"/>
      <c r="I83" s="34"/>
      <c r="J83" s="58"/>
      <c r="K83" s="10"/>
      <c r="L83" s="315"/>
      <c r="M83" s="315"/>
      <c r="N83" s="315"/>
      <c r="O83" s="315"/>
      <c r="P83" s="315"/>
      <c r="Q83" s="315"/>
    </row>
    <row r="84" spans="1:177" x14ac:dyDescent="0.25">
      <c r="A84" s="52">
        <f>IF(COUNTBLANK(B84)=1," ",COUNTA($B$12:B84))</f>
        <v>33</v>
      </c>
      <c r="B84" s="9" t="s">
        <v>14</v>
      </c>
      <c r="C84" s="14" t="s">
        <v>341</v>
      </c>
      <c r="D84" s="743" t="s">
        <v>16</v>
      </c>
      <c r="E84" s="53">
        <v>110</v>
      </c>
      <c r="F84" s="60"/>
      <c r="G84" s="136"/>
      <c r="H84" s="446"/>
      <c r="I84" s="436"/>
      <c r="J84" s="306"/>
      <c r="K84" s="136"/>
      <c r="L84" s="315"/>
      <c r="M84" s="315"/>
      <c r="N84" s="315"/>
      <c r="O84" s="315"/>
      <c r="P84" s="315"/>
      <c r="Q84" s="315"/>
    </row>
    <row r="85" spans="1:177" ht="22.5" x14ac:dyDescent="0.25">
      <c r="A85" s="52">
        <f>IF(COUNTBLANK(B85)=1," ",COUNTA($B$12:B85))</f>
        <v>34</v>
      </c>
      <c r="B85" s="9" t="s">
        <v>14</v>
      </c>
      <c r="C85" s="14" t="s">
        <v>342</v>
      </c>
      <c r="D85" s="743" t="s">
        <v>32</v>
      </c>
      <c r="E85" s="377">
        <v>19</v>
      </c>
      <c r="F85" s="60"/>
      <c r="G85" s="136"/>
      <c r="H85" s="446"/>
      <c r="I85" s="436"/>
      <c r="J85" s="306"/>
      <c r="K85" s="136"/>
      <c r="L85" s="315"/>
      <c r="M85" s="315"/>
      <c r="N85" s="315"/>
      <c r="O85" s="315"/>
      <c r="P85" s="315"/>
      <c r="Q85" s="315"/>
    </row>
    <row r="86" spans="1:177" ht="22.5" x14ac:dyDescent="0.25">
      <c r="A86" s="52" t="str">
        <f>IF(COUNTBLANK(B86)=1," ",COUNTA($B$12:B86))</f>
        <v xml:space="preserve"> </v>
      </c>
      <c r="B86" s="377"/>
      <c r="C86" s="14" t="s">
        <v>742</v>
      </c>
      <c r="D86" s="743"/>
      <c r="E86" s="377"/>
      <c r="F86" s="60"/>
      <c r="G86" s="136"/>
      <c r="H86" s="271"/>
      <c r="I86" s="136"/>
      <c r="J86" s="306"/>
      <c r="K86" s="136"/>
      <c r="L86" s="315"/>
      <c r="M86" s="315"/>
      <c r="N86" s="315"/>
      <c r="O86" s="315"/>
      <c r="P86" s="315"/>
      <c r="Q86" s="315"/>
    </row>
    <row r="87" spans="1:177" ht="22.5" x14ac:dyDescent="0.25">
      <c r="A87" s="52">
        <f>IF(COUNTBLANK(B87)=1," ",COUNTA($B$12:B87))</f>
        <v>35</v>
      </c>
      <c r="B87" s="9" t="s">
        <v>14</v>
      </c>
      <c r="C87" s="14" t="s">
        <v>343</v>
      </c>
      <c r="D87" s="743" t="s">
        <v>17</v>
      </c>
      <c r="E87" s="53">
        <f>14*1.2</f>
        <v>16.8</v>
      </c>
      <c r="F87" s="60"/>
      <c r="G87" s="437"/>
      <c r="H87" s="446"/>
      <c r="I87" s="438"/>
      <c r="J87" s="439"/>
      <c r="K87" s="438"/>
      <c r="L87" s="315"/>
      <c r="M87" s="315"/>
      <c r="N87" s="315"/>
      <c r="O87" s="315"/>
      <c r="P87" s="315"/>
      <c r="Q87" s="315"/>
    </row>
    <row r="88" spans="1:177" ht="22.5" x14ac:dyDescent="0.25">
      <c r="A88" s="52">
        <f>IF(COUNTBLANK(B88)=1," ",COUNTA($B$12:B88))</f>
        <v>36</v>
      </c>
      <c r="B88" s="9" t="s">
        <v>14</v>
      </c>
      <c r="C88" s="14" t="s">
        <v>344</v>
      </c>
      <c r="D88" s="743" t="s">
        <v>17</v>
      </c>
      <c r="E88" s="53">
        <f>0.3*24</f>
        <v>7.1999999999999993</v>
      </c>
      <c r="F88" s="60"/>
      <c r="G88" s="437"/>
      <c r="H88" s="446"/>
      <c r="I88" s="438"/>
      <c r="J88" s="439"/>
      <c r="K88" s="438"/>
      <c r="L88" s="315"/>
      <c r="M88" s="315"/>
      <c r="N88" s="315"/>
      <c r="O88" s="315"/>
      <c r="P88" s="315"/>
      <c r="Q88" s="315"/>
    </row>
    <row r="89" spans="1:177" ht="22.5" x14ac:dyDescent="0.25">
      <c r="A89" s="52">
        <f>IF(COUNTBLANK(B89)=1," ",COUNTA($B$12:B89))</f>
        <v>37</v>
      </c>
      <c r="B89" s="9" t="s">
        <v>14</v>
      </c>
      <c r="C89" s="14" t="s">
        <v>345</v>
      </c>
      <c r="D89" s="743" t="s">
        <v>17</v>
      </c>
      <c r="E89" s="53">
        <f>24*0.2</f>
        <v>4.8000000000000007</v>
      </c>
      <c r="F89" s="60"/>
      <c r="G89" s="437"/>
      <c r="H89" s="446"/>
      <c r="I89" s="438"/>
      <c r="J89" s="439"/>
      <c r="K89" s="438"/>
      <c r="L89" s="315"/>
      <c r="M89" s="315"/>
      <c r="N89" s="315"/>
      <c r="O89" s="315"/>
      <c r="P89" s="315"/>
      <c r="Q89" s="315"/>
    </row>
    <row r="90" spans="1:177" s="32" customFormat="1" ht="22.5" x14ac:dyDescent="0.25">
      <c r="A90" s="52">
        <f>IF(COUNTBLANK(B90)=1," ",COUNTA($B$12:B90))</f>
        <v>38</v>
      </c>
      <c r="B90" s="9" t="s">
        <v>14</v>
      </c>
      <c r="C90" s="14" t="s">
        <v>346</v>
      </c>
      <c r="D90" s="743" t="s">
        <v>26</v>
      </c>
      <c r="E90" s="10">
        <f>0.25*4</f>
        <v>1</v>
      </c>
      <c r="F90" s="291"/>
      <c r="G90" s="136"/>
      <c r="H90" s="446"/>
      <c r="I90" s="12"/>
      <c r="J90" s="306"/>
      <c r="K90" s="136"/>
      <c r="L90" s="315"/>
      <c r="M90" s="315"/>
      <c r="N90" s="315"/>
      <c r="O90" s="315"/>
      <c r="P90" s="315"/>
      <c r="Q90" s="315"/>
      <c r="R90" s="422"/>
      <c r="S90" s="422"/>
      <c r="T90" s="422"/>
      <c r="U90" s="422"/>
      <c r="V90" s="422"/>
      <c r="W90" s="422"/>
      <c r="X90" s="422"/>
      <c r="Y90" s="422"/>
      <c r="Z90" s="422"/>
      <c r="AA90" s="422"/>
      <c r="AB90" s="422"/>
      <c r="AC90" s="422"/>
      <c r="AD90" s="422"/>
      <c r="AE90" s="422"/>
      <c r="AF90" s="422"/>
      <c r="AG90" s="422"/>
      <c r="AH90" s="422"/>
      <c r="AI90" s="422"/>
      <c r="AJ90" s="422"/>
      <c r="AK90" s="422"/>
      <c r="AL90" s="422"/>
      <c r="AM90" s="422"/>
      <c r="AN90" s="422"/>
      <c r="AO90" s="422"/>
      <c r="AP90" s="422"/>
      <c r="AQ90" s="422"/>
      <c r="AR90" s="422"/>
      <c r="AS90" s="422"/>
      <c r="AT90" s="422"/>
      <c r="AU90" s="422"/>
      <c r="AV90" s="422"/>
      <c r="AW90" s="422"/>
      <c r="AX90" s="422"/>
      <c r="AY90" s="422"/>
      <c r="AZ90" s="422"/>
      <c r="BA90" s="422"/>
      <c r="BB90" s="422"/>
      <c r="BC90" s="422"/>
      <c r="BD90" s="422"/>
      <c r="BE90" s="422"/>
      <c r="BF90" s="422"/>
      <c r="BG90" s="422"/>
      <c r="BH90" s="422"/>
      <c r="BI90" s="422"/>
      <c r="BJ90" s="422"/>
      <c r="BK90" s="422"/>
      <c r="BL90" s="422"/>
      <c r="BM90" s="422"/>
      <c r="BN90" s="422"/>
      <c r="BO90" s="422"/>
      <c r="BP90" s="422"/>
      <c r="BQ90" s="422"/>
      <c r="BR90" s="422"/>
      <c r="BS90" s="422"/>
      <c r="BT90" s="422"/>
      <c r="BU90" s="422"/>
      <c r="BV90" s="422"/>
      <c r="BW90" s="422"/>
      <c r="BX90" s="422"/>
      <c r="BY90" s="422"/>
      <c r="BZ90" s="422"/>
      <c r="CA90" s="422"/>
      <c r="CB90" s="422"/>
      <c r="CC90" s="422"/>
      <c r="CD90" s="422"/>
      <c r="CE90" s="422"/>
      <c r="CF90" s="422"/>
      <c r="CG90" s="422"/>
      <c r="CH90" s="422"/>
      <c r="CI90" s="422"/>
      <c r="CJ90" s="422"/>
      <c r="CK90" s="422"/>
      <c r="CL90" s="422"/>
      <c r="CM90" s="422"/>
      <c r="CN90" s="422"/>
      <c r="CO90" s="422"/>
      <c r="CP90" s="422"/>
      <c r="CQ90" s="422"/>
      <c r="CR90" s="422"/>
      <c r="CS90" s="422"/>
      <c r="CT90" s="422"/>
      <c r="CU90" s="422"/>
      <c r="CV90" s="422"/>
      <c r="CW90" s="422"/>
      <c r="CX90" s="422"/>
      <c r="CY90" s="422"/>
      <c r="CZ90" s="422"/>
      <c r="DA90" s="422"/>
      <c r="DB90" s="422"/>
      <c r="DC90" s="422"/>
      <c r="DD90" s="422"/>
      <c r="DE90" s="422"/>
      <c r="DF90" s="422"/>
      <c r="DG90" s="422"/>
      <c r="DH90" s="422"/>
      <c r="DI90" s="422"/>
      <c r="DJ90" s="422"/>
      <c r="DK90" s="422"/>
      <c r="DL90" s="422"/>
      <c r="DM90" s="422"/>
      <c r="DN90" s="422"/>
      <c r="DO90" s="422"/>
      <c r="DP90" s="422"/>
      <c r="DQ90" s="422"/>
      <c r="DR90" s="422"/>
      <c r="DS90" s="422"/>
      <c r="DT90" s="422"/>
      <c r="DU90" s="422"/>
      <c r="DV90" s="422"/>
      <c r="DW90" s="422"/>
      <c r="DX90" s="422"/>
      <c r="DY90" s="422"/>
      <c r="DZ90" s="422"/>
      <c r="EA90" s="422"/>
      <c r="EB90" s="422"/>
      <c r="EC90" s="422"/>
      <c r="ED90" s="422"/>
      <c r="EE90" s="422"/>
      <c r="EF90" s="422"/>
      <c r="EG90" s="422"/>
      <c r="EH90" s="422"/>
      <c r="EI90" s="422"/>
      <c r="EJ90" s="422"/>
      <c r="EK90" s="422"/>
      <c r="EL90" s="422"/>
      <c r="EM90" s="422"/>
      <c r="EN90" s="422"/>
      <c r="EO90" s="422"/>
      <c r="EP90" s="422"/>
      <c r="EQ90" s="422"/>
      <c r="ER90" s="422"/>
      <c r="ES90" s="422"/>
      <c r="ET90" s="422"/>
      <c r="EU90" s="422"/>
      <c r="EV90" s="422"/>
      <c r="EW90" s="422"/>
      <c r="EX90" s="422"/>
      <c r="EY90" s="422"/>
      <c r="EZ90" s="422"/>
      <c r="FA90" s="422"/>
      <c r="FB90" s="422"/>
      <c r="FC90" s="422"/>
      <c r="FD90" s="422"/>
      <c r="FE90" s="422"/>
      <c r="FF90" s="422"/>
      <c r="FG90" s="422"/>
      <c r="FH90" s="422"/>
      <c r="FI90" s="422"/>
      <c r="FJ90" s="422"/>
      <c r="FK90" s="422"/>
      <c r="FL90" s="422"/>
      <c r="FM90" s="422"/>
      <c r="FN90" s="422"/>
      <c r="FO90" s="422"/>
      <c r="FP90" s="422"/>
      <c r="FQ90" s="422"/>
      <c r="FR90" s="422"/>
      <c r="FS90" s="422"/>
      <c r="FT90" s="422"/>
      <c r="FU90" s="422"/>
    </row>
    <row r="91" spans="1:177" s="32" customFormat="1" x14ac:dyDescent="0.25">
      <c r="A91" s="52" t="str">
        <f>IF(COUNTBLANK(B91)=1," ",COUNTA($B$12:B91))</f>
        <v xml:space="preserve"> </v>
      </c>
      <c r="B91" s="268"/>
      <c r="C91" s="16" t="s">
        <v>429</v>
      </c>
      <c r="D91" s="300" t="s">
        <v>26</v>
      </c>
      <c r="E91" s="290">
        <f>ROUNDUP(E90*F91,2)</f>
        <v>0.15</v>
      </c>
      <c r="F91" s="291">
        <v>0.15</v>
      </c>
      <c r="G91" s="136"/>
      <c r="H91" s="136"/>
      <c r="I91" s="136"/>
      <c r="J91" s="136"/>
      <c r="K91" s="136"/>
      <c r="L91" s="315"/>
      <c r="M91" s="315"/>
      <c r="N91" s="315"/>
      <c r="O91" s="315"/>
      <c r="P91" s="315"/>
      <c r="Q91" s="315"/>
      <c r="R91" s="422"/>
      <c r="S91" s="422"/>
      <c r="T91" s="422"/>
      <c r="U91" s="422"/>
      <c r="V91" s="422"/>
      <c r="W91" s="422"/>
      <c r="X91" s="422"/>
      <c r="Y91" s="422"/>
      <c r="Z91" s="422"/>
      <c r="AA91" s="422"/>
      <c r="AB91" s="422"/>
      <c r="AC91" s="422"/>
      <c r="AD91" s="422"/>
      <c r="AE91" s="422"/>
      <c r="AF91" s="422"/>
      <c r="AG91" s="422"/>
      <c r="AH91" s="422"/>
      <c r="AI91" s="422"/>
      <c r="AJ91" s="422"/>
      <c r="AK91" s="422"/>
      <c r="AL91" s="422"/>
      <c r="AM91" s="422"/>
      <c r="AN91" s="422"/>
      <c r="AO91" s="422"/>
      <c r="AP91" s="422"/>
      <c r="AQ91" s="422"/>
      <c r="AR91" s="422"/>
      <c r="AS91" s="422"/>
      <c r="AT91" s="422"/>
      <c r="AU91" s="422"/>
      <c r="AV91" s="422"/>
      <c r="AW91" s="422"/>
      <c r="AX91" s="422"/>
      <c r="AY91" s="422"/>
      <c r="AZ91" s="422"/>
      <c r="BA91" s="422"/>
      <c r="BB91" s="422"/>
      <c r="BC91" s="422"/>
      <c r="BD91" s="422"/>
      <c r="BE91" s="422"/>
      <c r="BF91" s="422"/>
      <c r="BG91" s="422"/>
      <c r="BH91" s="422"/>
      <c r="BI91" s="422"/>
      <c r="BJ91" s="422"/>
      <c r="BK91" s="422"/>
      <c r="BL91" s="422"/>
      <c r="BM91" s="422"/>
      <c r="BN91" s="422"/>
      <c r="BO91" s="422"/>
      <c r="BP91" s="422"/>
      <c r="BQ91" s="422"/>
      <c r="BR91" s="422"/>
      <c r="BS91" s="422"/>
      <c r="BT91" s="422"/>
      <c r="BU91" s="422"/>
      <c r="BV91" s="422"/>
      <c r="BW91" s="422"/>
      <c r="BX91" s="422"/>
      <c r="BY91" s="422"/>
      <c r="BZ91" s="422"/>
      <c r="CA91" s="422"/>
      <c r="CB91" s="422"/>
      <c r="CC91" s="422"/>
      <c r="CD91" s="422"/>
      <c r="CE91" s="422"/>
      <c r="CF91" s="422"/>
      <c r="CG91" s="422"/>
      <c r="CH91" s="422"/>
      <c r="CI91" s="422"/>
      <c r="CJ91" s="422"/>
      <c r="CK91" s="422"/>
      <c r="CL91" s="422"/>
      <c r="CM91" s="422"/>
      <c r="CN91" s="422"/>
      <c r="CO91" s="422"/>
      <c r="CP91" s="422"/>
      <c r="CQ91" s="422"/>
      <c r="CR91" s="422"/>
      <c r="CS91" s="422"/>
      <c r="CT91" s="422"/>
      <c r="CU91" s="422"/>
      <c r="CV91" s="422"/>
      <c r="CW91" s="422"/>
      <c r="CX91" s="422"/>
      <c r="CY91" s="422"/>
      <c r="CZ91" s="422"/>
      <c r="DA91" s="422"/>
      <c r="DB91" s="422"/>
      <c r="DC91" s="422"/>
      <c r="DD91" s="422"/>
      <c r="DE91" s="422"/>
      <c r="DF91" s="422"/>
      <c r="DG91" s="422"/>
      <c r="DH91" s="422"/>
      <c r="DI91" s="422"/>
      <c r="DJ91" s="422"/>
      <c r="DK91" s="422"/>
      <c r="DL91" s="422"/>
      <c r="DM91" s="422"/>
      <c r="DN91" s="422"/>
      <c r="DO91" s="422"/>
      <c r="DP91" s="422"/>
      <c r="DQ91" s="422"/>
      <c r="DR91" s="422"/>
      <c r="DS91" s="422"/>
      <c r="DT91" s="422"/>
      <c r="DU91" s="422"/>
      <c r="DV91" s="422"/>
      <c r="DW91" s="422"/>
      <c r="DX91" s="422"/>
      <c r="DY91" s="422"/>
      <c r="DZ91" s="422"/>
      <c r="EA91" s="422"/>
      <c r="EB91" s="422"/>
      <c r="EC91" s="422"/>
      <c r="ED91" s="422"/>
      <c r="EE91" s="422"/>
      <c r="EF91" s="422"/>
      <c r="EG91" s="422"/>
      <c r="EH91" s="422"/>
      <c r="EI91" s="422"/>
      <c r="EJ91" s="422"/>
      <c r="EK91" s="422"/>
      <c r="EL91" s="422"/>
      <c r="EM91" s="422"/>
      <c r="EN91" s="422"/>
      <c r="EO91" s="422"/>
      <c r="EP91" s="422"/>
      <c r="EQ91" s="422"/>
      <c r="ER91" s="422"/>
      <c r="ES91" s="422"/>
      <c r="ET91" s="422"/>
      <c r="EU91" s="422"/>
      <c r="EV91" s="422"/>
      <c r="EW91" s="422"/>
      <c r="EX91" s="422"/>
      <c r="EY91" s="422"/>
      <c r="EZ91" s="422"/>
      <c r="FA91" s="422"/>
      <c r="FB91" s="422"/>
      <c r="FC91" s="422"/>
      <c r="FD91" s="422"/>
      <c r="FE91" s="422"/>
      <c r="FF91" s="422"/>
      <c r="FG91" s="422"/>
      <c r="FH91" s="422"/>
      <c r="FI91" s="422"/>
      <c r="FJ91" s="422"/>
      <c r="FK91" s="422"/>
      <c r="FL91" s="422"/>
      <c r="FM91" s="422"/>
      <c r="FN91" s="422"/>
      <c r="FO91" s="422"/>
      <c r="FP91" s="422"/>
      <c r="FQ91" s="422"/>
      <c r="FR91" s="422"/>
      <c r="FS91" s="422"/>
      <c r="FT91" s="422"/>
      <c r="FU91" s="422"/>
    </row>
    <row r="92" spans="1:177" s="32" customFormat="1" x14ac:dyDescent="0.25">
      <c r="A92" s="52" t="str">
        <f>IF(COUNTBLANK(B92)=1," ",COUNTA($B$12:B92))</f>
        <v xml:space="preserve"> </v>
      </c>
      <c r="B92" s="268"/>
      <c r="C92" s="16" t="s">
        <v>430</v>
      </c>
      <c r="D92" s="300" t="s">
        <v>26</v>
      </c>
      <c r="E92" s="290">
        <f>ROUNDUP(E90*F92,2)</f>
        <v>0.93</v>
      </c>
      <c r="F92" s="291">
        <v>0.93</v>
      </c>
      <c r="G92" s="136"/>
      <c r="H92" s="136"/>
      <c r="I92" s="136"/>
      <c r="J92" s="136"/>
      <c r="K92" s="136"/>
      <c r="L92" s="315"/>
      <c r="M92" s="315"/>
      <c r="N92" s="315"/>
      <c r="O92" s="315"/>
      <c r="P92" s="315"/>
      <c r="Q92" s="315"/>
      <c r="R92" s="424"/>
      <c r="S92" s="424"/>
      <c r="T92" s="424"/>
      <c r="U92" s="424"/>
      <c r="V92" s="424"/>
      <c r="W92" s="424"/>
      <c r="X92" s="424"/>
      <c r="Y92" s="424"/>
      <c r="Z92" s="424"/>
      <c r="AA92" s="424"/>
      <c r="AB92" s="424"/>
      <c r="AC92" s="424"/>
      <c r="AD92" s="424"/>
      <c r="AE92" s="424"/>
      <c r="AF92" s="424"/>
      <c r="AG92" s="424"/>
      <c r="AH92" s="424"/>
      <c r="AI92" s="424"/>
      <c r="AJ92" s="424"/>
      <c r="AK92" s="424"/>
      <c r="AL92" s="424"/>
      <c r="AM92" s="424"/>
      <c r="AN92" s="424"/>
      <c r="AO92" s="424"/>
      <c r="AP92" s="424"/>
      <c r="AQ92" s="424"/>
      <c r="AR92" s="424"/>
      <c r="AS92" s="424"/>
      <c r="AT92" s="424"/>
      <c r="AU92" s="424"/>
      <c r="AV92" s="424"/>
      <c r="AW92" s="424"/>
      <c r="AX92" s="424"/>
      <c r="AY92" s="424"/>
      <c r="AZ92" s="424"/>
      <c r="BA92" s="424"/>
      <c r="BB92" s="424"/>
      <c r="BC92" s="424"/>
      <c r="BD92" s="424"/>
      <c r="BE92" s="424"/>
      <c r="BF92" s="424"/>
      <c r="BG92" s="424"/>
      <c r="BH92" s="424"/>
      <c r="BI92" s="424"/>
      <c r="BJ92" s="424"/>
      <c r="BK92" s="424"/>
      <c r="BL92" s="424"/>
      <c r="BM92" s="424"/>
      <c r="BN92" s="424"/>
      <c r="BO92" s="424"/>
      <c r="BP92" s="424"/>
      <c r="BQ92" s="424"/>
      <c r="BR92" s="424"/>
      <c r="BS92" s="424"/>
      <c r="BT92" s="424"/>
      <c r="BU92" s="424"/>
      <c r="BV92" s="424"/>
      <c r="BW92" s="424"/>
      <c r="BX92" s="424"/>
      <c r="BY92" s="424"/>
      <c r="BZ92" s="424"/>
      <c r="CA92" s="424"/>
      <c r="CB92" s="424"/>
      <c r="CC92" s="424"/>
      <c r="CD92" s="424"/>
      <c r="CE92" s="424"/>
      <c r="CF92" s="424"/>
      <c r="CG92" s="424"/>
      <c r="CH92" s="424"/>
      <c r="CI92" s="424"/>
      <c r="CJ92" s="424"/>
      <c r="CK92" s="424"/>
      <c r="CL92" s="424"/>
      <c r="CM92" s="424"/>
      <c r="CN92" s="424"/>
      <c r="CO92" s="424"/>
      <c r="CP92" s="424"/>
      <c r="CQ92" s="424"/>
      <c r="CR92" s="424"/>
      <c r="CS92" s="424"/>
      <c r="CT92" s="424"/>
      <c r="CU92" s="424"/>
      <c r="CV92" s="424"/>
      <c r="CW92" s="424"/>
      <c r="CX92" s="424"/>
      <c r="CY92" s="424"/>
      <c r="CZ92" s="424"/>
      <c r="DA92" s="424"/>
      <c r="DB92" s="424"/>
      <c r="DC92" s="424"/>
      <c r="DD92" s="424"/>
      <c r="DE92" s="424"/>
      <c r="DF92" s="424"/>
      <c r="DG92" s="424"/>
      <c r="DH92" s="424"/>
      <c r="DI92" s="424"/>
      <c r="DJ92" s="424"/>
      <c r="DK92" s="424"/>
      <c r="DL92" s="424"/>
      <c r="DM92" s="424"/>
      <c r="DN92" s="424"/>
      <c r="DO92" s="424"/>
      <c r="DP92" s="424"/>
      <c r="DQ92" s="424"/>
      <c r="DR92" s="424"/>
      <c r="DS92" s="424"/>
      <c r="DT92" s="424"/>
      <c r="DU92" s="424"/>
      <c r="DV92" s="424"/>
      <c r="DW92" s="424"/>
      <c r="DX92" s="424"/>
      <c r="DY92" s="424"/>
      <c r="DZ92" s="424"/>
      <c r="EA92" s="424"/>
      <c r="EB92" s="424"/>
      <c r="EC92" s="424"/>
      <c r="ED92" s="424"/>
      <c r="EE92" s="424"/>
      <c r="EF92" s="424"/>
      <c r="EG92" s="424"/>
      <c r="EH92" s="424"/>
      <c r="EI92" s="424"/>
      <c r="EJ92" s="424"/>
      <c r="EK92" s="424"/>
      <c r="EL92" s="424"/>
      <c r="EM92" s="424"/>
      <c r="EN92" s="424"/>
      <c r="EO92" s="424"/>
      <c r="EP92" s="424"/>
      <c r="EQ92" s="424"/>
      <c r="ER92" s="424"/>
      <c r="ES92" s="424"/>
      <c r="ET92" s="424"/>
      <c r="EU92" s="424"/>
      <c r="EV92" s="424"/>
      <c r="EW92" s="424"/>
      <c r="EX92" s="424"/>
      <c r="EY92" s="424"/>
      <c r="EZ92" s="424"/>
      <c r="FA92" s="424"/>
      <c r="FB92" s="424"/>
      <c r="FC92" s="424"/>
      <c r="FD92" s="424"/>
      <c r="FE92" s="424"/>
      <c r="FF92" s="424"/>
      <c r="FG92" s="424"/>
      <c r="FH92" s="424"/>
      <c r="FI92" s="424"/>
      <c r="FJ92" s="424"/>
      <c r="FK92" s="424"/>
      <c r="FL92" s="424"/>
      <c r="FM92" s="424"/>
      <c r="FN92" s="424"/>
      <c r="FO92" s="424"/>
      <c r="FP92" s="424"/>
      <c r="FQ92" s="424"/>
      <c r="FR92" s="424"/>
      <c r="FS92" s="424"/>
      <c r="FT92" s="424"/>
      <c r="FU92" s="424"/>
    </row>
    <row r="93" spans="1:177" s="32" customFormat="1" x14ac:dyDescent="0.25">
      <c r="A93" s="52" t="str">
        <f>IF(COUNTBLANK(B93)=1," ",COUNTA($B$12:B93))</f>
        <v xml:space="preserve"> </v>
      </c>
      <c r="B93" s="268"/>
      <c r="C93" s="16" t="s">
        <v>38</v>
      </c>
      <c r="D93" s="268" t="s">
        <v>211</v>
      </c>
      <c r="E93" s="290">
        <f>ROUNDUP(E90*F93,0)</f>
        <v>1</v>
      </c>
      <c r="F93" s="291">
        <v>0.25</v>
      </c>
      <c r="G93" s="136"/>
      <c r="H93" s="136"/>
      <c r="I93" s="136"/>
      <c r="J93" s="136"/>
      <c r="K93" s="136"/>
      <c r="L93" s="315"/>
      <c r="M93" s="315"/>
      <c r="N93" s="315"/>
      <c r="O93" s="315"/>
      <c r="P93" s="315"/>
      <c r="Q93" s="315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6"/>
      <c r="AY93" s="246"/>
      <c r="AZ93" s="246"/>
      <c r="BA93" s="246"/>
      <c r="BB93" s="246"/>
      <c r="BC93" s="246"/>
      <c r="BD93" s="246"/>
      <c r="BE93" s="246"/>
      <c r="BF93" s="246"/>
      <c r="BG93" s="246"/>
      <c r="BH93" s="246"/>
      <c r="BI93" s="246"/>
      <c r="BJ93" s="246"/>
      <c r="BK93" s="246"/>
      <c r="BL93" s="246"/>
      <c r="BM93" s="246"/>
      <c r="BN93" s="246"/>
      <c r="BO93" s="246"/>
      <c r="BP93" s="246"/>
      <c r="BQ93" s="246"/>
      <c r="BR93" s="246"/>
      <c r="BS93" s="246"/>
      <c r="BT93" s="246"/>
      <c r="BU93" s="246"/>
      <c r="BV93" s="246"/>
      <c r="BW93" s="246"/>
      <c r="BX93" s="246"/>
      <c r="BY93" s="246"/>
      <c r="BZ93" s="246"/>
      <c r="CA93" s="246"/>
      <c r="CB93" s="246"/>
      <c r="CC93" s="246"/>
      <c r="CD93" s="246"/>
      <c r="CE93" s="246"/>
      <c r="CF93" s="246"/>
      <c r="CG93" s="246"/>
      <c r="CH93" s="246"/>
      <c r="CI93" s="246"/>
      <c r="CJ93" s="246"/>
      <c r="CK93" s="246"/>
      <c r="CL93" s="246"/>
      <c r="CM93" s="246"/>
      <c r="CN93" s="246"/>
      <c r="CO93" s="246"/>
      <c r="CP93" s="246"/>
      <c r="CQ93" s="246"/>
      <c r="CR93" s="246"/>
      <c r="CS93" s="246"/>
      <c r="CT93" s="246"/>
      <c r="CU93" s="246"/>
      <c r="CV93" s="246"/>
      <c r="CW93" s="246"/>
      <c r="CX93" s="246"/>
      <c r="CY93" s="246"/>
      <c r="CZ93" s="246"/>
      <c r="DA93" s="246"/>
      <c r="DB93" s="246"/>
      <c r="DC93" s="246"/>
      <c r="DD93" s="246"/>
      <c r="DE93" s="246"/>
      <c r="DF93" s="246"/>
      <c r="DG93" s="246"/>
      <c r="DH93" s="246"/>
      <c r="DI93" s="246"/>
      <c r="DJ93" s="246"/>
      <c r="DK93" s="246"/>
      <c r="DL93" s="246"/>
      <c r="DM93" s="246"/>
      <c r="DN93" s="246"/>
      <c r="DO93" s="246"/>
      <c r="DP93" s="246"/>
      <c r="DQ93" s="246"/>
      <c r="DR93" s="246"/>
      <c r="DS93" s="246"/>
      <c r="DT93" s="246"/>
      <c r="DU93" s="246"/>
      <c r="DV93" s="246"/>
      <c r="DW93" s="246"/>
      <c r="DX93" s="246"/>
      <c r="DY93" s="246"/>
      <c r="DZ93" s="246"/>
      <c r="EA93" s="246"/>
      <c r="EB93" s="246"/>
      <c r="EC93" s="246"/>
      <c r="ED93" s="246"/>
      <c r="EE93" s="246"/>
      <c r="EF93" s="246"/>
      <c r="EG93" s="246"/>
      <c r="EH93" s="246"/>
      <c r="EI93" s="246"/>
      <c r="EJ93" s="246"/>
      <c r="EK93" s="246"/>
      <c r="EL93" s="246"/>
      <c r="EM93" s="246"/>
      <c r="EN93" s="246"/>
      <c r="EO93" s="246"/>
      <c r="EP93" s="246"/>
      <c r="EQ93" s="246"/>
      <c r="ER93" s="246"/>
      <c r="ES93" s="246"/>
      <c r="ET93" s="246"/>
      <c r="EU93" s="246"/>
      <c r="EV93" s="246"/>
      <c r="EW93" s="246"/>
      <c r="EX93" s="246"/>
      <c r="EY93" s="246"/>
      <c r="EZ93" s="246"/>
      <c r="FA93" s="246"/>
      <c r="FB93" s="246"/>
      <c r="FC93" s="246"/>
      <c r="FD93" s="246"/>
      <c r="FE93" s="246"/>
      <c r="FF93" s="246"/>
      <c r="FG93" s="246"/>
      <c r="FH93" s="246"/>
      <c r="FI93" s="246"/>
      <c r="FJ93" s="246"/>
      <c r="FK93" s="246"/>
      <c r="FL93" s="246"/>
      <c r="FM93" s="246"/>
      <c r="FN93" s="246"/>
      <c r="FO93" s="246"/>
      <c r="FP93" s="246"/>
      <c r="FQ93" s="246"/>
      <c r="FR93" s="246"/>
      <c r="FS93" s="246"/>
      <c r="FT93" s="246"/>
      <c r="FU93" s="246"/>
    </row>
    <row r="94" spans="1:177" ht="22.5" x14ac:dyDescent="0.25">
      <c r="A94" s="52" t="str">
        <f>IF(COUNTBLANK(B94)=1," ",COUNTA($B$12:B94))</f>
        <v xml:space="preserve"> </v>
      </c>
      <c r="B94" s="377"/>
      <c r="C94" s="14" t="s">
        <v>347</v>
      </c>
      <c r="D94" s="743" t="s">
        <v>32</v>
      </c>
      <c r="E94" s="377">
        <v>48</v>
      </c>
      <c r="F94" s="60"/>
      <c r="G94" s="136"/>
      <c r="H94" s="271"/>
      <c r="I94" s="136"/>
      <c r="J94" s="306"/>
      <c r="K94" s="136"/>
      <c r="L94" s="315"/>
      <c r="M94" s="315"/>
      <c r="N94" s="315"/>
      <c r="O94" s="315"/>
      <c r="P94" s="315"/>
      <c r="Q94" s="315"/>
    </row>
    <row r="95" spans="1:177" x14ac:dyDescent="0.25">
      <c r="A95" s="52" t="str">
        <f>IF(COUNTBLANK(B95)=1," ",COUNTA($B$12:B95))</f>
        <v xml:space="preserve"> </v>
      </c>
      <c r="B95" s="377"/>
      <c r="C95" s="14" t="s">
        <v>348</v>
      </c>
      <c r="D95" s="743" t="s">
        <v>32</v>
      </c>
      <c r="E95" s="377">
        <v>96</v>
      </c>
      <c r="F95" s="60"/>
      <c r="G95" s="136"/>
      <c r="H95" s="271"/>
      <c r="I95" s="136"/>
      <c r="J95" s="306"/>
      <c r="K95" s="136"/>
      <c r="L95" s="315"/>
      <c r="M95" s="315"/>
      <c r="N95" s="315"/>
      <c r="O95" s="315"/>
      <c r="P95" s="315"/>
      <c r="Q95" s="315"/>
    </row>
    <row r="96" spans="1:177" ht="22.5" x14ac:dyDescent="0.25">
      <c r="A96" s="52"/>
      <c r="B96" s="377"/>
      <c r="C96" s="54" t="s">
        <v>724</v>
      </c>
      <c r="D96" s="743" t="s">
        <v>26</v>
      </c>
      <c r="E96" s="10">
        <v>0.24</v>
      </c>
      <c r="F96" s="60"/>
      <c r="G96" s="136"/>
      <c r="H96" s="446"/>
      <c r="I96" s="136"/>
      <c r="J96" s="306"/>
      <c r="K96" s="136"/>
      <c r="L96" s="315"/>
      <c r="M96" s="315"/>
      <c r="N96" s="315"/>
      <c r="O96" s="315"/>
      <c r="P96" s="315"/>
      <c r="Q96" s="315"/>
    </row>
    <row r="97" spans="1:17" x14ac:dyDescent="0.25">
      <c r="A97" s="52"/>
      <c r="B97" s="377"/>
      <c r="C97" s="14" t="s">
        <v>725</v>
      </c>
      <c r="D97" s="743" t="s">
        <v>32</v>
      </c>
      <c r="E97" s="377">
        <v>16</v>
      </c>
      <c r="F97" s="60"/>
      <c r="G97" s="136"/>
      <c r="H97" s="446"/>
      <c r="I97" s="136"/>
      <c r="J97" s="306"/>
      <c r="K97" s="136"/>
      <c r="L97" s="315"/>
      <c r="M97" s="315"/>
      <c r="N97" s="315"/>
      <c r="O97" s="315"/>
      <c r="P97" s="315"/>
      <c r="Q97" s="315"/>
    </row>
    <row r="98" spans="1:17" x14ac:dyDescent="0.25">
      <c r="A98" s="52"/>
      <c r="B98" s="377"/>
      <c r="C98" s="14" t="s">
        <v>726</v>
      </c>
      <c r="D98" s="743" t="s">
        <v>32</v>
      </c>
      <c r="E98" s="377">
        <v>8</v>
      </c>
      <c r="F98" s="60"/>
      <c r="G98" s="136"/>
      <c r="H98" s="446"/>
      <c r="I98" s="136"/>
      <c r="J98" s="306"/>
      <c r="K98" s="136"/>
      <c r="L98" s="315"/>
      <c r="M98" s="315"/>
      <c r="N98" s="315"/>
      <c r="O98" s="315"/>
      <c r="P98" s="315"/>
      <c r="Q98" s="315"/>
    </row>
    <row r="99" spans="1:17" ht="22.5" x14ac:dyDescent="0.25">
      <c r="A99" s="52">
        <f>IF(COUNTBLANK(B99)=1," ",COUNTA($B$12:B99))</f>
        <v>39</v>
      </c>
      <c r="B99" s="9" t="s">
        <v>14</v>
      </c>
      <c r="C99" s="54" t="s">
        <v>856</v>
      </c>
      <c r="D99" s="743" t="s">
        <v>26</v>
      </c>
      <c r="E99" s="53">
        <f>0.2*14</f>
        <v>2.8000000000000003</v>
      </c>
      <c r="F99" s="60"/>
      <c r="G99" s="312"/>
      <c r="H99" s="446"/>
      <c r="I99" s="312"/>
      <c r="J99" s="312"/>
      <c r="K99" s="312"/>
      <c r="L99" s="315"/>
      <c r="M99" s="315"/>
      <c r="N99" s="315"/>
      <c r="O99" s="315"/>
      <c r="P99" s="315"/>
      <c r="Q99" s="315"/>
    </row>
    <row r="100" spans="1:17" ht="22.5" x14ac:dyDescent="0.25">
      <c r="A100" s="52">
        <f>IF(COUNTBLANK(B100)=1," ",COUNTA($B$12:B100))</f>
        <v>40</v>
      </c>
      <c r="B100" s="9" t="s">
        <v>14</v>
      </c>
      <c r="C100" s="54" t="s">
        <v>887</v>
      </c>
      <c r="D100" s="743" t="s">
        <v>26</v>
      </c>
      <c r="E100" s="53">
        <f>0.2*0.2*8</f>
        <v>0.32000000000000006</v>
      </c>
      <c r="F100" s="60"/>
      <c r="G100" s="312"/>
      <c r="H100" s="446"/>
      <c r="I100" s="312"/>
      <c r="J100" s="312"/>
      <c r="K100" s="312"/>
      <c r="L100" s="315"/>
      <c r="M100" s="315"/>
      <c r="N100" s="315"/>
      <c r="O100" s="315"/>
      <c r="P100" s="315"/>
      <c r="Q100" s="315"/>
    </row>
    <row r="101" spans="1:17" x14ac:dyDescent="0.25">
      <c r="A101" s="52"/>
      <c r="B101" s="9"/>
      <c r="C101" s="50" t="s">
        <v>734</v>
      </c>
      <c r="D101" s="19" t="s">
        <v>17</v>
      </c>
      <c r="E101" s="225">
        <v>38</v>
      </c>
      <c r="F101" s="60"/>
      <c r="G101" s="312"/>
      <c r="H101" s="446"/>
      <c r="I101" s="312"/>
      <c r="J101" s="312"/>
      <c r="K101" s="312"/>
      <c r="L101" s="315"/>
      <c r="M101" s="315"/>
      <c r="N101" s="315"/>
      <c r="O101" s="315"/>
      <c r="P101" s="315"/>
      <c r="Q101" s="315"/>
    </row>
    <row r="102" spans="1:17" s="94" customFormat="1" x14ac:dyDescent="0.25">
      <c r="A102" s="52">
        <f>IF(COUNTBLANK(B102)=1," ",COUNTA($B$12:B102))</f>
        <v>41</v>
      </c>
      <c r="B102" s="9" t="s">
        <v>14</v>
      </c>
      <c r="C102" s="14" t="s">
        <v>732</v>
      </c>
      <c r="D102" s="743"/>
      <c r="E102" s="53"/>
      <c r="F102" s="445"/>
      <c r="G102" s="136"/>
      <c r="H102" s="446"/>
      <c r="I102" s="136"/>
      <c r="J102" s="58"/>
      <c r="K102" s="58"/>
      <c r="L102" s="315"/>
      <c r="M102" s="315"/>
      <c r="N102" s="315"/>
      <c r="O102" s="315"/>
      <c r="P102" s="315"/>
      <c r="Q102" s="315"/>
    </row>
    <row r="103" spans="1:17" ht="22.5" x14ac:dyDescent="0.25">
      <c r="A103" s="52" t="str">
        <f>IF(COUNTBLANK(B103)=1," ",COUNTA($B$12:B103))</f>
        <v xml:space="preserve"> </v>
      </c>
      <c r="B103" s="377"/>
      <c r="C103" s="14" t="s">
        <v>885</v>
      </c>
      <c r="D103" s="743" t="s">
        <v>17</v>
      </c>
      <c r="E103" s="53">
        <f>1.9*20</f>
        <v>38</v>
      </c>
      <c r="F103" s="60"/>
      <c r="G103" s="136"/>
      <c r="H103" s="271"/>
      <c r="I103" s="136"/>
      <c r="J103" s="310"/>
      <c r="K103" s="136"/>
      <c r="L103" s="315"/>
      <c r="M103" s="315"/>
      <c r="N103" s="315"/>
      <c r="O103" s="315"/>
      <c r="P103" s="315"/>
      <c r="Q103" s="315"/>
    </row>
    <row r="104" spans="1:17" ht="22.5" x14ac:dyDescent="0.25">
      <c r="A104" s="52" t="str">
        <f>IF(COUNTBLANK(B104)=1," ",COUNTA($B$12:B104))</f>
        <v xml:space="preserve"> </v>
      </c>
      <c r="B104" s="377"/>
      <c r="C104" s="14" t="s">
        <v>886</v>
      </c>
      <c r="D104" s="743" t="s">
        <v>17</v>
      </c>
      <c r="E104" s="53">
        <f>1.9*20</f>
        <v>38</v>
      </c>
      <c r="F104" s="60"/>
      <c r="G104" s="136"/>
      <c r="H104" s="271"/>
      <c r="I104" s="136"/>
      <c r="J104" s="310"/>
      <c r="K104" s="136"/>
      <c r="L104" s="315"/>
      <c r="M104" s="315"/>
      <c r="N104" s="315"/>
      <c r="O104" s="315"/>
      <c r="P104" s="315"/>
      <c r="Q104" s="315"/>
    </row>
    <row r="105" spans="1:17" x14ac:dyDescent="0.25">
      <c r="A105" s="52" t="str">
        <f>IF(COUNTBLANK(B105)=1," ",COUNTA($B$12:B105))</f>
        <v xml:space="preserve"> </v>
      </c>
      <c r="B105" s="377"/>
      <c r="C105" s="14" t="s">
        <v>438</v>
      </c>
      <c r="D105" s="743" t="s">
        <v>439</v>
      </c>
      <c r="E105" s="53">
        <v>1</v>
      </c>
      <c r="F105" s="60"/>
      <c r="G105" s="136"/>
      <c r="H105" s="271"/>
      <c r="I105" s="136"/>
      <c r="J105" s="310"/>
      <c r="K105" s="136"/>
      <c r="L105" s="315"/>
      <c r="M105" s="315"/>
      <c r="N105" s="315"/>
      <c r="O105" s="315"/>
      <c r="P105" s="315"/>
      <c r="Q105" s="315"/>
    </row>
    <row r="106" spans="1:17" ht="22.5" x14ac:dyDescent="0.25">
      <c r="A106" s="52">
        <f>IF(COUNTBLANK(B106)=1," ",COUNTA($B$12:B106))</f>
        <v>42</v>
      </c>
      <c r="B106" s="9" t="s">
        <v>14</v>
      </c>
      <c r="C106" s="14" t="s">
        <v>349</v>
      </c>
      <c r="D106" s="743" t="s">
        <v>23</v>
      </c>
      <c r="E106" s="377">
        <f>20.8*0.004*0.04*7800</f>
        <v>25.958400000000005</v>
      </c>
      <c r="F106" s="60"/>
      <c r="G106" s="312"/>
      <c r="H106" s="446"/>
      <c r="I106" s="312"/>
      <c r="J106" s="312"/>
      <c r="K106" s="312"/>
      <c r="L106" s="315"/>
      <c r="M106" s="315"/>
      <c r="N106" s="315"/>
      <c r="O106" s="315"/>
      <c r="P106" s="315"/>
      <c r="Q106" s="315"/>
    </row>
    <row r="107" spans="1:17" x14ac:dyDescent="0.25">
      <c r="A107" s="52" t="str">
        <f>IF(COUNTBLANK(B107)=1," ",COUNTA($B$12:B107))</f>
        <v xml:space="preserve"> </v>
      </c>
      <c r="B107" s="377"/>
      <c r="C107" s="14" t="s">
        <v>350</v>
      </c>
      <c r="D107" s="743" t="s">
        <v>32</v>
      </c>
      <c r="E107" s="377">
        <v>64</v>
      </c>
      <c r="F107" s="60"/>
      <c r="G107" s="136"/>
      <c r="H107" s="271"/>
      <c r="I107" s="136"/>
      <c r="J107" s="306"/>
      <c r="K107" s="136"/>
      <c r="L107" s="315"/>
      <c r="M107" s="315"/>
      <c r="N107" s="315"/>
      <c r="O107" s="315"/>
      <c r="P107" s="315"/>
      <c r="Q107" s="315"/>
    </row>
    <row r="108" spans="1:17" s="94" customFormat="1" ht="22.5" x14ac:dyDescent="0.25">
      <c r="A108" s="52">
        <f>IF(COUNTBLANK(B108)=1," ",COUNTA($B$12:B108))</f>
        <v>43</v>
      </c>
      <c r="B108" s="9" t="s">
        <v>14</v>
      </c>
      <c r="C108" s="14" t="s">
        <v>744</v>
      </c>
      <c r="D108" s="743" t="s">
        <v>17</v>
      </c>
      <c r="E108" s="377">
        <f>18*0.7</f>
        <v>12.6</v>
      </c>
      <c r="F108" s="136"/>
      <c r="G108" s="60"/>
      <c r="H108" s="446"/>
      <c r="I108" s="60"/>
      <c r="J108" s="15"/>
      <c r="K108" s="60"/>
      <c r="L108" s="315"/>
      <c r="M108" s="315"/>
      <c r="N108" s="315"/>
      <c r="O108" s="315"/>
      <c r="P108" s="315"/>
      <c r="Q108" s="315"/>
    </row>
    <row r="109" spans="1:17" s="94" customFormat="1" x14ac:dyDescent="0.25">
      <c r="A109" s="52" t="str">
        <f>IF(COUNTBLANK(B109)=1," ",COUNTA($B$12:B109))</f>
        <v xml:space="preserve"> </v>
      </c>
      <c r="B109" s="210"/>
      <c r="C109" s="449" t="s">
        <v>21</v>
      </c>
      <c r="D109" s="207" t="s">
        <v>32</v>
      </c>
      <c r="E109" s="447">
        <f>E108*F109</f>
        <v>75.599999999999994</v>
      </c>
      <c r="F109" s="136">
        <v>6</v>
      </c>
      <c r="G109" s="60"/>
      <c r="H109" s="91"/>
      <c r="I109" s="60"/>
      <c r="J109" s="60"/>
      <c r="K109" s="60"/>
      <c r="L109" s="315"/>
      <c r="M109" s="315"/>
      <c r="N109" s="315"/>
      <c r="O109" s="315"/>
      <c r="P109" s="315"/>
      <c r="Q109" s="315"/>
    </row>
    <row r="110" spans="1:17" s="94" customFormat="1" x14ac:dyDescent="0.25">
      <c r="A110" s="52" t="str">
        <f>IF(COUNTBLANK(B110)=1," ",COUNTA($B$12:B110))</f>
        <v xml:space="preserve"> </v>
      </c>
      <c r="B110" s="210"/>
      <c r="C110" s="450" t="s">
        <v>441</v>
      </c>
      <c r="D110" s="204" t="s">
        <v>17</v>
      </c>
      <c r="E110" s="447">
        <f>E108*F110</f>
        <v>13.860000000000001</v>
      </c>
      <c r="F110" s="136">
        <v>1.1000000000000001</v>
      </c>
      <c r="G110" s="60"/>
      <c r="H110" s="91"/>
      <c r="I110" s="60"/>
      <c r="J110" s="60"/>
      <c r="K110" s="60"/>
      <c r="L110" s="315"/>
      <c r="M110" s="315"/>
      <c r="N110" s="315"/>
      <c r="O110" s="315"/>
      <c r="P110" s="315"/>
      <c r="Q110" s="315"/>
    </row>
    <row r="111" spans="1:17" x14ac:dyDescent="0.25">
      <c r="A111" s="52">
        <f>IF(COUNTBLANK(B111)=1," ",COUNTA($B$12:B111))</f>
        <v>44</v>
      </c>
      <c r="B111" s="9" t="s">
        <v>14</v>
      </c>
      <c r="C111" s="14" t="s">
        <v>352</v>
      </c>
      <c r="D111" s="743" t="s">
        <v>17</v>
      </c>
      <c r="E111" s="377">
        <f>0.04*2*20.8</f>
        <v>1.6640000000000001</v>
      </c>
      <c r="F111" s="60"/>
      <c r="G111" s="312"/>
      <c r="H111" s="446"/>
      <c r="I111" s="312"/>
      <c r="J111" s="312"/>
      <c r="K111" s="312"/>
      <c r="L111" s="315"/>
      <c r="M111" s="315"/>
      <c r="N111" s="315"/>
      <c r="O111" s="315"/>
      <c r="P111" s="315"/>
      <c r="Q111" s="315"/>
    </row>
    <row r="112" spans="1:17" ht="22.5" x14ac:dyDescent="0.25">
      <c r="A112" s="52" t="str">
        <f>IF(COUNTBLANK(B112)=1," ",COUNTA($B$12:B112))</f>
        <v xml:space="preserve"> </v>
      </c>
      <c r="B112" s="377"/>
      <c r="C112" s="14" t="s">
        <v>353</v>
      </c>
      <c r="D112" s="743"/>
      <c r="E112" s="53"/>
      <c r="F112" s="60"/>
      <c r="G112" s="136"/>
      <c r="H112" s="271"/>
      <c r="I112" s="136"/>
      <c r="J112" s="306"/>
      <c r="K112" s="136"/>
      <c r="L112" s="315"/>
      <c r="M112" s="315"/>
      <c r="N112" s="315"/>
      <c r="O112" s="315"/>
      <c r="P112" s="315"/>
      <c r="Q112" s="315"/>
    </row>
    <row r="113" spans="1:17" ht="22.5" x14ac:dyDescent="0.25">
      <c r="A113" s="52">
        <f>IF(COUNTBLANK(B113)=1," ",COUNTA($B$12:B113))</f>
        <v>45</v>
      </c>
      <c r="B113" s="9" t="s">
        <v>14</v>
      </c>
      <c r="C113" s="14" t="s">
        <v>888</v>
      </c>
      <c r="D113" s="743" t="s">
        <v>17</v>
      </c>
      <c r="E113" s="53">
        <f>0.3*16</f>
        <v>4.8</v>
      </c>
      <c r="F113" s="57"/>
      <c r="G113" s="136"/>
      <c r="H113" s="446"/>
      <c r="I113" s="136"/>
      <c r="J113" s="58"/>
      <c r="K113" s="58"/>
      <c r="L113" s="315"/>
      <c r="M113" s="315"/>
      <c r="N113" s="315"/>
      <c r="O113" s="315"/>
      <c r="P113" s="315"/>
      <c r="Q113" s="315"/>
    </row>
    <row r="114" spans="1:17" x14ac:dyDescent="0.25">
      <c r="A114" s="52">
        <f>IF(COUNTBLANK(B114)=1," ",COUNTA($B$12:B114))</f>
        <v>46</v>
      </c>
      <c r="B114" s="9" t="s">
        <v>14</v>
      </c>
      <c r="C114" s="14" t="s">
        <v>338</v>
      </c>
      <c r="D114" s="743" t="s">
        <v>16</v>
      </c>
      <c r="E114" s="53">
        <v>16</v>
      </c>
      <c r="F114" s="394"/>
      <c r="G114" s="136"/>
      <c r="H114" s="446"/>
      <c r="I114" s="136"/>
      <c r="J114" s="58"/>
      <c r="K114" s="58"/>
      <c r="L114" s="315"/>
      <c r="M114" s="315"/>
      <c r="N114" s="315"/>
      <c r="O114" s="315"/>
      <c r="P114" s="315"/>
      <c r="Q114" s="315"/>
    </row>
    <row r="115" spans="1:17" s="94" customFormat="1" ht="22.5" x14ac:dyDescent="0.25">
      <c r="A115" s="52">
        <f>IF(COUNTBLANK(B115)=1," ",COUNTA($B$12:B115))</f>
        <v>47</v>
      </c>
      <c r="B115" s="9" t="s">
        <v>14</v>
      </c>
      <c r="C115" s="14" t="s">
        <v>743</v>
      </c>
      <c r="D115" s="743" t="s">
        <v>17</v>
      </c>
      <c r="E115" s="53">
        <f>1.05*16</f>
        <v>16.8</v>
      </c>
      <c r="F115" s="445"/>
      <c r="G115" s="136"/>
      <c r="H115" s="446"/>
      <c r="I115" s="136"/>
      <c r="J115" s="58"/>
      <c r="K115" s="58"/>
      <c r="L115" s="315"/>
      <c r="M115" s="315"/>
      <c r="N115" s="315"/>
      <c r="O115" s="315"/>
      <c r="P115" s="315"/>
      <c r="Q115" s="315"/>
    </row>
    <row r="116" spans="1:17" ht="22.5" x14ac:dyDescent="0.25">
      <c r="A116" s="52">
        <f>IF(COUNTBLANK(B116)=1," ",COUNTA($B$12:B116))</f>
        <v>48</v>
      </c>
      <c r="B116" s="9" t="s">
        <v>14</v>
      </c>
      <c r="C116" s="14" t="s">
        <v>339</v>
      </c>
      <c r="D116" s="743" t="s">
        <v>16</v>
      </c>
      <c r="E116" s="53">
        <v>16</v>
      </c>
      <c r="F116" s="60"/>
      <c r="G116" s="136"/>
      <c r="H116" s="446"/>
      <c r="I116" s="136"/>
      <c r="J116" s="58"/>
      <c r="K116" s="58"/>
      <c r="L116" s="315"/>
      <c r="M116" s="315"/>
      <c r="N116" s="315"/>
      <c r="O116" s="315"/>
      <c r="P116" s="315"/>
      <c r="Q116" s="315"/>
    </row>
    <row r="117" spans="1:17" ht="22.5" x14ac:dyDescent="0.25">
      <c r="A117" s="52">
        <f>IF(COUNTBLANK(B117)=1," ",COUNTA($B$12:B117))</f>
        <v>49</v>
      </c>
      <c r="B117" s="9" t="s">
        <v>14</v>
      </c>
      <c r="C117" s="14" t="s">
        <v>354</v>
      </c>
      <c r="D117" s="743" t="s">
        <v>16</v>
      </c>
      <c r="E117" s="53">
        <v>16</v>
      </c>
      <c r="F117" s="60"/>
      <c r="G117" s="10"/>
      <c r="H117" s="446"/>
      <c r="I117" s="34"/>
      <c r="J117" s="58"/>
      <c r="K117" s="10"/>
      <c r="L117" s="315"/>
      <c r="M117" s="315"/>
      <c r="N117" s="315"/>
      <c r="O117" s="315"/>
      <c r="P117" s="315"/>
      <c r="Q117" s="315"/>
    </row>
    <row r="118" spans="1:17" x14ac:dyDescent="0.25">
      <c r="A118" s="52">
        <f>IF(COUNTBLANK(B118)=1," ",COUNTA($B$12:B118))</f>
        <v>50</v>
      </c>
      <c r="B118" s="9" t="s">
        <v>14</v>
      </c>
      <c r="C118" s="14" t="s">
        <v>341</v>
      </c>
      <c r="D118" s="743" t="s">
        <v>16</v>
      </c>
      <c r="E118" s="53">
        <v>16</v>
      </c>
      <c r="F118" s="60"/>
      <c r="G118" s="136"/>
      <c r="H118" s="446"/>
      <c r="I118" s="436"/>
      <c r="J118" s="306"/>
      <c r="K118" s="136"/>
      <c r="L118" s="315"/>
      <c r="M118" s="315"/>
      <c r="N118" s="315"/>
      <c r="O118" s="315"/>
      <c r="P118" s="315"/>
      <c r="Q118" s="315"/>
    </row>
    <row r="119" spans="1:17" ht="22.5" x14ac:dyDescent="0.25">
      <c r="A119" s="52">
        <f>IF(COUNTBLANK(B119)=1," ",COUNTA($B$12:B119))</f>
        <v>51</v>
      </c>
      <c r="B119" s="9" t="s">
        <v>14</v>
      </c>
      <c r="C119" s="14" t="s">
        <v>355</v>
      </c>
      <c r="D119" s="743" t="s">
        <v>233</v>
      </c>
      <c r="E119" s="377">
        <v>4</v>
      </c>
      <c r="F119" s="381"/>
      <c r="G119" s="136"/>
      <c r="H119" s="446"/>
      <c r="I119" s="436"/>
      <c r="J119" s="306"/>
      <c r="K119" s="136"/>
      <c r="L119" s="315"/>
      <c r="M119" s="315"/>
      <c r="N119" s="315"/>
      <c r="O119" s="315"/>
      <c r="P119" s="315"/>
      <c r="Q119" s="315"/>
    </row>
    <row r="120" spans="1:17" x14ac:dyDescent="0.25">
      <c r="A120" s="52" t="str">
        <f>IF(COUNTBLANK(B120)=1," ",COUNTA($B$12:B120))</f>
        <v xml:space="preserve"> </v>
      </c>
      <c r="B120" s="388"/>
      <c r="C120" s="720"/>
      <c r="D120" s="388"/>
      <c r="E120" s="388"/>
      <c r="F120" s="390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</row>
    <row r="121" spans="1:17" x14ac:dyDescent="0.25">
      <c r="A121" s="413" t="str">
        <f>IF(COUNTBLANK(I121)=1," ",COUNTA($I$62:I121))</f>
        <v xml:space="preserve"> </v>
      </c>
      <c r="B121" s="37"/>
      <c r="C121" s="334" t="s">
        <v>179</v>
      </c>
      <c r="D121" s="23"/>
      <c r="E121" s="162"/>
      <c r="F121" s="162"/>
      <c r="G121" s="17"/>
      <c r="H121" s="162"/>
      <c r="I121" s="17"/>
      <c r="J121" s="17"/>
      <c r="K121" s="17"/>
      <c r="L121" s="17"/>
      <c r="M121" s="20">
        <f>SUM(M13:M119)</f>
        <v>0</v>
      </c>
      <c r="N121" s="20">
        <f>SUM(N13:N119)</f>
        <v>0</v>
      </c>
      <c r="O121" s="20">
        <f>SUM(O13:O119)</f>
        <v>0</v>
      </c>
      <c r="P121" s="20">
        <f>SUM(P13:P119)</f>
        <v>0</v>
      </c>
      <c r="Q121" s="20">
        <f>SUM(Q13:Q119)</f>
        <v>0</v>
      </c>
    </row>
    <row r="122" spans="1:17" x14ac:dyDescent="0.25">
      <c r="A122" s="413" t="str">
        <f>IF(COUNTBLANK(I122)=1," ",COUNTA($I$62:I122))</f>
        <v xml:space="preserve"> </v>
      </c>
      <c r="B122" s="39"/>
      <c r="C122" s="39"/>
      <c r="D122" s="94"/>
      <c r="E122" s="94"/>
      <c r="F122" s="94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</row>
    <row r="123" spans="1:17" x14ac:dyDescent="0.25">
      <c r="A123" s="413" t="str">
        <f>IF(COUNTBLANK(I123)=1," ",COUNTA($I$62:I123))</f>
        <v xml:space="preserve"> </v>
      </c>
      <c r="B123" s="140" t="str">
        <f>sas</f>
        <v>Sastādīja:</v>
      </c>
      <c r="C123" s="140"/>
      <c r="D123" s="140"/>
      <c r="E123" s="140"/>
      <c r="F123" s="94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</row>
    <row r="124" spans="1:17" x14ac:dyDescent="0.25">
      <c r="A124" s="413" t="str">
        <f>IF(COUNTBLANK(I124)=1," ",COUNTA($I$62:I124))</f>
        <v xml:space="preserve"> </v>
      </c>
      <c r="B124" s="140"/>
      <c r="C124" s="385" t="s">
        <v>145</v>
      </c>
      <c r="D124" s="140"/>
      <c r="E124" s="140"/>
      <c r="F124" s="94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</row>
    <row r="125" spans="1:17" x14ac:dyDescent="0.25">
      <c r="A125" s="413" t="str">
        <f>IF(COUNTBLANK(I125)=1," ",COUNTA($I$62:I125))</f>
        <v xml:space="preserve"> </v>
      </c>
      <c r="B125" s="161"/>
      <c r="C125" s="138"/>
      <c r="D125" s="140"/>
      <c r="E125" s="140"/>
      <c r="F125" s="94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</row>
    <row r="126" spans="1:17" x14ac:dyDescent="0.25">
      <c r="A126" s="413" t="str">
        <f>IF(COUNTBLANK(I126)=1," ",COUNTA($I$62:I126))</f>
        <v xml:space="preserve"> </v>
      </c>
      <c r="B126" s="140" t="str">
        <f>dat</f>
        <v>Tāme sastādīta 201__. gada __.____________</v>
      </c>
      <c r="C126" s="140"/>
      <c r="D126" s="140"/>
      <c r="E126" s="140"/>
      <c r="F126" s="94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</row>
    <row r="127" spans="1:17" x14ac:dyDescent="0.25">
      <c r="A127" s="413" t="str">
        <f>IF(COUNTBLANK(I127)=1," ",COUNTA($I$62:I127))</f>
        <v xml:space="preserve"> </v>
      </c>
      <c r="B127" s="161"/>
      <c r="C127" s="138"/>
      <c r="D127" s="100"/>
      <c r="E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</row>
    <row r="128" spans="1:17" x14ac:dyDescent="0.25">
      <c r="A128" s="413" t="str">
        <f>IF(COUNTBLANK(I128)=1," ",COUNTA($I$62:I128))</f>
        <v xml:space="preserve"> </v>
      </c>
      <c r="B128" s="140" t="s">
        <v>147</v>
      </c>
      <c r="C128" s="140"/>
      <c r="D128" s="100"/>
      <c r="E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</row>
    <row r="129" spans="1:17" x14ac:dyDescent="0.25">
      <c r="A129" s="413" t="str">
        <f>IF(COUNTBLANK(I129)=1," ",COUNTA($I$62:I129))</f>
        <v xml:space="preserve"> </v>
      </c>
      <c r="B129" s="140"/>
      <c r="C129" s="385" t="s">
        <v>145</v>
      </c>
      <c r="D129" s="100"/>
      <c r="E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</row>
    <row r="130" spans="1:17" x14ac:dyDescent="0.25">
      <c r="A130" s="413" t="str">
        <f>IF(COUNTBLANK(I130)=1," ",COUNTA($I$62:I130))</f>
        <v xml:space="preserve"> </v>
      </c>
      <c r="B130" s="161"/>
      <c r="C130" s="140" t="s">
        <v>148</v>
      </c>
      <c r="D130" s="100"/>
      <c r="E130" s="100"/>
      <c r="F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</row>
    <row r="131" spans="1:17" x14ac:dyDescent="0.25">
      <c r="A131" s="413" t="str">
        <f>IF(COUNTBLANK(I131)=1," ",COUNTA($I$62:I131))</f>
        <v xml:space="preserve"> </v>
      </c>
      <c r="B131" s="100"/>
      <c r="C131" s="129"/>
      <c r="D131" s="100"/>
      <c r="E131" s="100"/>
      <c r="F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</row>
  </sheetData>
  <autoFilter ref="A11:HL119" xr:uid="{00000000-0009-0000-0000-00000D000000}"/>
  <mergeCells count="8">
    <mergeCell ref="A1:G1"/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  <rowBreaks count="1" manualBreakCount="1">
    <brk id="120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131"/>
  <sheetViews>
    <sheetView view="pageBreakPreview" topLeftCell="A70" zoomScale="85" zoomScaleSheetLayoutView="85" workbookViewId="0">
      <selection activeCell="C58" sqref="C58"/>
    </sheetView>
  </sheetViews>
  <sheetFormatPr defaultColWidth="8.85546875" defaultRowHeight="11.25" x14ac:dyDescent="0.25"/>
  <cols>
    <col min="1" max="1" width="4.140625" style="738" customWidth="1"/>
    <col min="2" max="2" width="4.140625" style="45" customWidth="1"/>
    <col min="3" max="3" width="47.28515625" style="50" customWidth="1"/>
    <col min="4" max="5" width="6" style="50" customWidth="1"/>
    <col min="6" max="6" width="7.5703125" style="50" customWidth="1"/>
    <col min="7" max="7" width="6" style="50" customWidth="1"/>
    <col min="8" max="8" width="5.85546875" style="45" customWidth="1"/>
    <col min="9" max="9" width="7.140625" style="48" customWidth="1"/>
    <col min="10" max="10" width="4" style="45" hidden="1" customWidth="1"/>
    <col min="11" max="11" width="6" style="45" customWidth="1"/>
    <col min="12" max="12" width="7" style="45" customWidth="1"/>
    <col min="13" max="13" width="5.42578125" style="45" customWidth="1"/>
    <col min="14" max="14" width="7" style="45" customWidth="1"/>
    <col min="15" max="15" width="5.42578125" style="45" customWidth="1"/>
    <col min="16" max="16" width="7.28515625" style="45" customWidth="1"/>
    <col min="17" max="17" width="7.7109375" style="45" customWidth="1"/>
    <col min="18" max="18" width="8" style="45" customWidth="1"/>
    <col min="19" max="19" width="8.5703125" style="45" customWidth="1"/>
    <col min="20" max="20" width="7.140625" style="45" customWidth="1"/>
    <col min="21" max="21" width="8" style="45" customWidth="1"/>
    <col min="22" max="16384" width="8.85546875" style="45"/>
  </cols>
  <sheetData>
    <row r="1" spans="1:21" s="31" customFormat="1" x14ac:dyDescent="0.25">
      <c r="A1" s="845" t="s">
        <v>6</v>
      </c>
      <c r="B1" s="845"/>
      <c r="C1" s="845"/>
      <c r="D1" s="845"/>
      <c r="E1" s="845"/>
      <c r="F1" s="845"/>
      <c r="G1" s="845"/>
      <c r="H1" s="845"/>
      <c r="I1" s="845"/>
      <c r="J1" s="845"/>
      <c r="K1" s="838"/>
      <c r="L1" s="92">
        <f>KPDV!B24</f>
        <v>12</v>
      </c>
      <c r="M1" s="30"/>
      <c r="N1" s="30"/>
      <c r="O1" s="30"/>
      <c r="P1" s="30"/>
      <c r="Q1" s="30"/>
    </row>
    <row r="2" spans="1:21" s="31" customFormat="1" x14ac:dyDescent="0.25">
      <c r="A2" s="411"/>
      <c r="B2" s="741"/>
      <c r="C2" s="49" t="s">
        <v>467</v>
      </c>
      <c r="D2" s="49"/>
      <c r="E2" s="49"/>
      <c r="F2" s="49"/>
      <c r="G2" s="49"/>
      <c r="H2" s="741"/>
      <c r="I2" s="741"/>
      <c r="J2" s="741"/>
      <c r="K2" s="741"/>
      <c r="L2" s="92"/>
      <c r="M2" s="30"/>
      <c r="N2" s="30"/>
      <c r="O2" s="30"/>
      <c r="P2" s="30"/>
      <c r="Q2" s="30"/>
    </row>
    <row r="3" spans="1:21" x14ac:dyDescent="0.25">
      <c r="A3" s="190" t="str">
        <f>nos</f>
        <v>Būves nosaukums:  Dzīvojamās māja</v>
      </c>
      <c r="B3" s="46"/>
      <c r="C3" s="44"/>
      <c r="D3" s="44"/>
      <c r="E3" s="44"/>
      <c r="F3" s="44"/>
      <c r="G3" s="44"/>
      <c r="H3" s="46"/>
      <c r="I3" s="47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x14ac:dyDescent="0.25">
      <c r="A4" s="168" t="str">
        <f>obj</f>
        <v>Objekta nosaukums: Dzīvojamās ēkas fasādes vienkāršota atjaunošana</v>
      </c>
      <c r="B4" s="46"/>
      <c r="C4" s="44"/>
      <c r="D4" s="44"/>
      <c r="E4" s="44"/>
      <c r="F4" s="44"/>
      <c r="G4" s="44"/>
      <c r="H4" s="46"/>
      <c r="I4" s="4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x14ac:dyDescent="0.25">
      <c r="A5" s="168" t="str">
        <f>adres</f>
        <v>Objekta adrese: Aisteres iela 7, Liepājā</v>
      </c>
      <c r="B5" s="46"/>
      <c r="C5" s="44"/>
      <c r="D5" s="44"/>
      <c r="E5" s="44"/>
      <c r="F5" s="44"/>
      <c r="G5" s="44"/>
      <c r="H5" s="46"/>
      <c r="I5" s="47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ht="12" thickBot="1" x14ac:dyDescent="0.3">
      <c r="A6" s="168" t="str">
        <f>nr</f>
        <v>Pasūtījuma Nr.WS-41-17</v>
      </c>
      <c r="B6" s="46"/>
      <c r="C6" s="44"/>
      <c r="D6" s="44"/>
      <c r="E6" s="44"/>
      <c r="F6" s="44"/>
      <c r="G6" s="44"/>
      <c r="H6" s="46"/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12" thickBot="1" x14ac:dyDescent="0.3">
      <c r="A7" s="190"/>
      <c r="B7" s="7"/>
      <c r="C7" s="454" t="s">
        <v>695</v>
      </c>
      <c r="D7" s="186"/>
      <c r="E7" s="186"/>
      <c r="F7" s="186"/>
      <c r="G7" s="186"/>
      <c r="H7" s="162"/>
      <c r="I7" s="171" t="s">
        <v>721</v>
      </c>
      <c r="J7" s="7" t="s">
        <v>143</v>
      </c>
      <c r="K7" s="7"/>
      <c r="L7" s="7"/>
      <c r="M7" s="7"/>
      <c r="N7" s="7"/>
      <c r="O7" s="7"/>
      <c r="P7" s="7"/>
      <c r="Q7" s="7"/>
      <c r="R7" s="7"/>
      <c r="S7" s="7"/>
      <c r="T7" s="163" t="s">
        <v>144</v>
      </c>
      <c r="U7" s="29" t="e">
        <f>#REF!</f>
        <v>#REF!</v>
      </c>
    </row>
    <row r="8" spans="1:21" x14ac:dyDescent="0.25">
      <c r="A8" s="182"/>
      <c r="B8" s="187"/>
      <c r="C8" s="158"/>
      <c r="D8" s="158"/>
      <c r="E8" s="158"/>
      <c r="F8" s="158"/>
      <c r="G8" s="158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62"/>
      <c r="S8" s="188"/>
      <c r="T8" s="189" t="str">
        <f>KPDV!C47</f>
        <v>Tāme sastādīta 201__. gada __.____________</v>
      </c>
      <c r="U8" s="46"/>
    </row>
    <row r="9" spans="1:21" s="738" customFormat="1" x14ac:dyDescent="0.25">
      <c r="A9" s="830" t="s">
        <v>7</v>
      </c>
      <c r="B9" s="831" t="s">
        <v>8</v>
      </c>
      <c r="C9" s="848" t="s">
        <v>132</v>
      </c>
      <c r="D9" s="849"/>
      <c r="E9" s="849"/>
      <c r="F9" s="849"/>
      <c r="G9" s="849"/>
      <c r="H9" s="839" t="s">
        <v>51</v>
      </c>
      <c r="I9" s="831" t="s">
        <v>114</v>
      </c>
      <c r="J9" s="727"/>
      <c r="K9" s="829" t="s">
        <v>133</v>
      </c>
      <c r="L9" s="829"/>
      <c r="M9" s="829"/>
      <c r="N9" s="829"/>
      <c r="O9" s="829"/>
      <c r="P9" s="829"/>
      <c r="Q9" s="829" t="s">
        <v>134</v>
      </c>
      <c r="R9" s="829"/>
      <c r="S9" s="829"/>
      <c r="T9" s="829"/>
      <c r="U9" s="829"/>
    </row>
    <row r="10" spans="1:21" s="738" customFormat="1" ht="69" x14ac:dyDescent="0.25">
      <c r="A10" s="830"/>
      <c r="B10" s="831"/>
      <c r="C10" s="850"/>
      <c r="D10" s="851"/>
      <c r="E10" s="851"/>
      <c r="F10" s="851"/>
      <c r="G10" s="851"/>
      <c r="H10" s="839"/>
      <c r="I10" s="831"/>
      <c r="J10" s="727"/>
      <c r="K10" s="749" t="s">
        <v>135</v>
      </c>
      <c r="L10" s="749" t="s">
        <v>136</v>
      </c>
      <c r="M10" s="749" t="s">
        <v>137</v>
      </c>
      <c r="N10" s="749" t="s">
        <v>138</v>
      </c>
      <c r="O10" s="749" t="s">
        <v>139</v>
      </c>
      <c r="P10" s="749" t="s">
        <v>140</v>
      </c>
      <c r="Q10" s="749" t="s">
        <v>141</v>
      </c>
      <c r="R10" s="749" t="s">
        <v>137</v>
      </c>
      <c r="S10" s="749" t="s">
        <v>138</v>
      </c>
      <c r="T10" s="749" t="s">
        <v>139</v>
      </c>
      <c r="U10" s="749" t="s">
        <v>140</v>
      </c>
    </row>
    <row r="11" spans="1:21" s="738" customFormat="1" x14ac:dyDescent="0.25">
      <c r="A11" s="412">
        <v>1</v>
      </c>
      <c r="B11" s="243">
        <f>A11+1</f>
        <v>2</v>
      </c>
      <c r="C11" s="852">
        <f>B11+1</f>
        <v>3</v>
      </c>
      <c r="D11" s="853"/>
      <c r="E11" s="853"/>
      <c r="F11" s="853"/>
      <c r="G11" s="853"/>
      <c r="H11" s="243">
        <f>C11+1</f>
        <v>4</v>
      </c>
      <c r="I11" s="244">
        <f>H11+1</f>
        <v>5</v>
      </c>
      <c r="J11" s="145"/>
      <c r="K11" s="243">
        <f>I11+1</f>
        <v>6</v>
      </c>
      <c r="L11" s="243">
        <f t="shared" ref="L11:U11" si="0">K11+1</f>
        <v>7</v>
      </c>
      <c r="M11" s="243">
        <f t="shared" si="0"/>
        <v>8</v>
      </c>
      <c r="N11" s="243">
        <f t="shared" si="0"/>
        <v>9</v>
      </c>
      <c r="O11" s="243">
        <f t="shared" si="0"/>
        <v>10</v>
      </c>
      <c r="P11" s="243">
        <f t="shared" si="0"/>
        <v>11</v>
      </c>
      <c r="Q11" s="243">
        <f t="shared" si="0"/>
        <v>12</v>
      </c>
      <c r="R11" s="243">
        <f t="shared" si="0"/>
        <v>13</v>
      </c>
      <c r="S11" s="243">
        <f t="shared" si="0"/>
        <v>14</v>
      </c>
      <c r="T11" s="243">
        <f t="shared" si="0"/>
        <v>15</v>
      </c>
      <c r="U11" s="243">
        <f t="shared" si="0"/>
        <v>16</v>
      </c>
    </row>
    <row r="12" spans="1:21" s="738" customFormat="1" x14ac:dyDescent="0.25">
      <c r="A12" s="458"/>
      <c r="B12" s="394"/>
      <c r="C12" s="728"/>
      <c r="D12" s="817" t="s">
        <v>465</v>
      </c>
      <c r="E12" s="817"/>
      <c r="F12" s="817"/>
      <c r="G12" s="817" t="s">
        <v>118</v>
      </c>
      <c r="H12" s="394"/>
      <c r="I12" s="235"/>
      <c r="J12" s="459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</row>
    <row r="13" spans="1:21" x14ac:dyDescent="0.25">
      <c r="A13" s="376"/>
      <c r="B13" s="518"/>
      <c r="C13" s="54" t="s">
        <v>809</v>
      </c>
      <c r="D13" s="742" t="s">
        <v>463</v>
      </c>
      <c r="E13" s="742" t="s">
        <v>5</v>
      </c>
      <c r="F13" s="742" t="s">
        <v>464</v>
      </c>
      <c r="G13" s="817"/>
      <c r="H13" s="518"/>
      <c r="I13" s="633"/>
      <c r="J13" s="743"/>
      <c r="K13" s="743"/>
      <c r="L13" s="743">
        <v>6</v>
      </c>
      <c r="M13" s="743"/>
      <c r="N13" s="743"/>
      <c r="O13" s="743"/>
      <c r="P13" s="743"/>
      <c r="Q13" s="743"/>
      <c r="R13" s="743"/>
      <c r="S13" s="743"/>
      <c r="T13" s="743"/>
      <c r="U13" s="743"/>
    </row>
    <row r="14" spans="1:21" x14ac:dyDescent="0.25">
      <c r="A14" s="52">
        <f>IF(COUNTBLANK(B14)=1," ",COUNTA($B$12:B14))</f>
        <v>1</v>
      </c>
      <c r="B14" s="9" t="s">
        <v>14</v>
      </c>
      <c r="C14" s="634" t="s">
        <v>498</v>
      </c>
      <c r="D14" s="634">
        <v>150</v>
      </c>
      <c r="E14" s="635">
        <v>100</v>
      </c>
      <c r="F14" s="634">
        <v>4500</v>
      </c>
      <c r="G14" s="634">
        <v>19</v>
      </c>
      <c r="H14" s="53" t="s">
        <v>26</v>
      </c>
      <c r="I14" s="742">
        <v>1.2829999999999999</v>
      </c>
      <c r="J14" s="743"/>
      <c r="K14" s="312"/>
      <c r="L14" s="516"/>
      <c r="M14" s="312"/>
      <c r="N14" s="444"/>
      <c r="O14" s="312"/>
      <c r="P14" s="315"/>
      <c r="Q14" s="315"/>
      <c r="R14" s="315"/>
      <c r="S14" s="315"/>
      <c r="T14" s="315"/>
      <c r="U14" s="315"/>
    </row>
    <row r="15" spans="1:21" x14ac:dyDescent="0.25">
      <c r="A15" s="52">
        <f>IF(COUNTBLANK(B15)=1," ",COUNTA($B$12:B15))</f>
        <v>2</v>
      </c>
      <c r="B15" s="9" t="s">
        <v>14</v>
      </c>
      <c r="C15" s="742" t="s">
        <v>498</v>
      </c>
      <c r="D15" s="661">
        <v>150</v>
      </c>
      <c r="E15" s="723">
        <v>100</v>
      </c>
      <c r="F15" s="661">
        <v>3200</v>
      </c>
      <c r="G15" s="661">
        <v>2</v>
      </c>
      <c r="H15" s="53" t="str">
        <f>H14</f>
        <v>m³</v>
      </c>
      <c r="I15" s="742">
        <v>9.6000000000000002E-2</v>
      </c>
      <c r="J15" s="743"/>
      <c r="K15" s="312"/>
      <c r="L15" s="516"/>
      <c r="M15" s="312"/>
      <c r="N15" s="444"/>
      <c r="O15" s="312"/>
      <c r="P15" s="315"/>
      <c r="Q15" s="315"/>
      <c r="R15" s="315"/>
      <c r="S15" s="315"/>
      <c r="T15" s="315"/>
      <c r="U15" s="315"/>
    </row>
    <row r="16" spans="1:21" s="49" customFormat="1" x14ac:dyDescent="0.25">
      <c r="A16" s="52">
        <f>IF(COUNTBLANK(B16)=1," ",COUNTA($B$12:B16))</f>
        <v>3</v>
      </c>
      <c r="B16" s="9" t="s">
        <v>14</v>
      </c>
      <c r="C16" s="742" t="s">
        <v>498</v>
      </c>
      <c r="D16" s="661">
        <v>150</v>
      </c>
      <c r="E16" s="723">
        <v>100</v>
      </c>
      <c r="F16" s="661">
        <v>4200</v>
      </c>
      <c r="G16" s="661">
        <v>8</v>
      </c>
      <c r="H16" s="53" t="str">
        <f t="shared" ref="H16:H51" si="1">H15</f>
        <v>m³</v>
      </c>
      <c r="I16" s="742">
        <v>0.504</v>
      </c>
      <c r="J16" s="743"/>
      <c r="K16" s="312"/>
      <c r="L16" s="516"/>
      <c r="M16" s="312"/>
      <c r="N16" s="444"/>
      <c r="O16" s="312"/>
      <c r="P16" s="315"/>
      <c r="Q16" s="315"/>
      <c r="R16" s="315"/>
      <c r="S16" s="315"/>
      <c r="T16" s="315"/>
      <c r="U16" s="315"/>
    </row>
    <row r="17" spans="1:21" x14ac:dyDescent="0.25">
      <c r="A17" s="52">
        <f>IF(COUNTBLANK(B17)=1," ",COUNTA($B$12:B17))</f>
        <v>4</v>
      </c>
      <c r="B17" s="9" t="s">
        <v>14</v>
      </c>
      <c r="C17" s="742" t="s">
        <v>498</v>
      </c>
      <c r="D17" s="661">
        <v>150</v>
      </c>
      <c r="E17" s="723">
        <v>100</v>
      </c>
      <c r="F17" s="661">
        <v>3330</v>
      </c>
      <c r="G17" s="661">
        <v>2</v>
      </c>
      <c r="H17" s="53" t="str">
        <f t="shared" si="1"/>
        <v>m³</v>
      </c>
      <c r="I17" s="742">
        <v>0.1</v>
      </c>
      <c r="J17" s="743"/>
      <c r="K17" s="312"/>
      <c r="L17" s="516"/>
      <c r="M17" s="312"/>
      <c r="N17" s="444"/>
      <c r="O17" s="312"/>
      <c r="P17" s="315"/>
      <c r="Q17" s="315"/>
      <c r="R17" s="315"/>
      <c r="S17" s="315"/>
      <c r="T17" s="315"/>
      <c r="U17" s="315"/>
    </row>
    <row r="18" spans="1:21" x14ac:dyDescent="0.25">
      <c r="A18" s="52">
        <f>IF(COUNTBLANK(B18)=1," ",COUNTA($B$12:B18))</f>
        <v>5</v>
      </c>
      <c r="B18" s="9" t="s">
        <v>14</v>
      </c>
      <c r="C18" s="742" t="s">
        <v>498</v>
      </c>
      <c r="D18" s="661">
        <v>150</v>
      </c>
      <c r="E18" s="723">
        <v>100</v>
      </c>
      <c r="F18" s="661">
        <v>2000</v>
      </c>
      <c r="G18" s="661">
        <v>2</v>
      </c>
      <c r="H18" s="53" t="str">
        <f t="shared" si="1"/>
        <v>m³</v>
      </c>
      <c r="I18" s="742">
        <v>0.06</v>
      </c>
      <c r="J18" s="743"/>
      <c r="K18" s="312"/>
      <c r="L18" s="516"/>
      <c r="M18" s="312"/>
      <c r="N18" s="444"/>
      <c r="O18" s="312"/>
      <c r="P18" s="315"/>
      <c r="Q18" s="315"/>
      <c r="R18" s="315"/>
      <c r="S18" s="315"/>
      <c r="T18" s="315"/>
      <c r="U18" s="315"/>
    </row>
    <row r="19" spans="1:21" x14ac:dyDescent="0.25">
      <c r="A19" s="52">
        <f>IF(COUNTBLANK(B19)=1," ",COUNTA($B$12:B19))</f>
        <v>6</v>
      </c>
      <c r="B19" s="9" t="s">
        <v>14</v>
      </c>
      <c r="C19" s="742" t="s">
        <v>498</v>
      </c>
      <c r="D19" s="661">
        <v>150</v>
      </c>
      <c r="E19" s="723">
        <v>100</v>
      </c>
      <c r="F19" s="661">
        <v>4175</v>
      </c>
      <c r="G19" s="661">
        <v>1</v>
      </c>
      <c r="H19" s="53" t="str">
        <f t="shared" si="1"/>
        <v>m³</v>
      </c>
      <c r="I19" s="742">
        <v>6.3E-2</v>
      </c>
      <c r="J19" s="743"/>
      <c r="K19" s="312"/>
      <c r="L19" s="516"/>
      <c r="M19" s="312"/>
      <c r="N19" s="444"/>
      <c r="O19" s="312"/>
      <c r="P19" s="315"/>
      <c r="Q19" s="315"/>
      <c r="R19" s="315"/>
      <c r="S19" s="315"/>
      <c r="T19" s="315"/>
      <c r="U19" s="315"/>
    </row>
    <row r="20" spans="1:21" x14ac:dyDescent="0.25">
      <c r="A20" s="52">
        <f>IF(COUNTBLANK(B20)=1," ",COUNTA($B$12:B20))</f>
        <v>7</v>
      </c>
      <c r="B20" s="9" t="s">
        <v>14</v>
      </c>
      <c r="C20" s="742" t="s">
        <v>498</v>
      </c>
      <c r="D20" s="661">
        <v>150</v>
      </c>
      <c r="E20" s="723">
        <v>100</v>
      </c>
      <c r="F20" s="661">
        <v>4000</v>
      </c>
      <c r="G20" s="661">
        <v>4</v>
      </c>
      <c r="H20" s="53" t="str">
        <f t="shared" si="1"/>
        <v>m³</v>
      </c>
      <c r="I20" s="742">
        <v>0.24</v>
      </c>
      <c r="J20" s="743"/>
      <c r="K20" s="312"/>
      <c r="L20" s="516"/>
      <c r="M20" s="312"/>
      <c r="N20" s="444"/>
      <c r="O20" s="312"/>
      <c r="P20" s="315"/>
      <c r="Q20" s="315"/>
      <c r="R20" s="315"/>
      <c r="S20" s="315"/>
      <c r="T20" s="315"/>
      <c r="U20" s="315"/>
    </row>
    <row r="21" spans="1:21" x14ac:dyDescent="0.25">
      <c r="A21" s="52">
        <f>IF(COUNTBLANK(B21)=1," ",COUNTA($B$12:B21))</f>
        <v>8</v>
      </c>
      <c r="B21" s="9" t="s">
        <v>14</v>
      </c>
      <c r="C21" s="742" t="s">
        <v>498</v>
      </c>
      <c r="D21" s="661">
        <v>150</v>
      </c>
      <c r="E21" s="723">
        <v>100</v>
      </c>
      <c r="F21" s="661">
        <v>3550</v>
      </c>
      <c r="G21" s="661">
        <v>2</v>
      </c>
      <c r="H21" s="53" t="str">
        <f t="shared" si="1"/>
        <v>m³</v>
      </c>
      <c r="I21" s="742">
        <v>0.107</v>
      </c>
      <c r="J21" s="743"/>
      <c r="K21" s="312"/>
      <c r="L21" s="516"/>
      <c r="M21" s="312"/>
      <c r="N21" s="444"/>
      <c r="O21" s="312"/>
      <c r="P21" s="315"/>
      <c r="Q21" s="315"/>
      <c r="R21" s="315"/>
      <c r="S21" s="315"/>
      <c r="T21" s="315"/>
      <c r="U21" s="315"/>
    </row>
    <row r="22" spans="1:21" x14ac:dyDescent="0.25">
      <c r="A22" s="52">
        <f>IF(COUNTBLANK(B22)=1," ",COUNTA($B$12:B22))</f>
        <v>9</v>
      </c>
      <c r="B22" s="9" t="s">
        <v>14</v>
      </c>
      <c r="C22" s="742" t="s">
        <v>499</v>
      </c>
      <c r="D22" s="661">
        <v>60</v>
      </c>
      <c r="E22" s="723">
        <v>160</v>
      </c>
      <c r="F22" s="661">
        <v>5938</v>
      </c>
      <c r="G22" s="661">
        <v>139</v>
      </c>
      <c r="H22" s="53" t="str">
        <f t="shared" si="1"/>
        <v>m³</v>
      </c>
      <c r="I22" s="623">
        <v>7.9240000000000004</v>
      </c>
      <c r="J22" s="743"/>
      <c r="K22" s="312"/>
      <c r="L22" s="516"/>
      <c r="M22" s="312"/>
      <c r="N22" s="444"/>
      <c r="O22" s="312"/>
      <c r="P22" s="315"/>
      <c r="Q22" s="315"/>
      <c r="R22" s="315"/>
      <c r="S22" s="315"/>
      <c r="T22" s="315"/>
      <c r="U22" s="315"/>
    </row>
    <row r="23" spans="1:21" x14ac:dyDescent="0.25">
      <c r="A23" s="52">
        <f>IF(COUNTBLANK(B23)=1," ",COUNTA($B$12:B23))</f>
        <v>10</v>
      </c>
      <c r="B23" s="9" t="s">
        <v>14</v>
      </c>
      <c r="C23" s="742" t="s">
        <v>499</v>
      </c>
      <c r="D23" s="661">
        <v>60</v>
      </c>
      <c r="E23" s="723">
        <v>160</v>
      </c>
      <c r="F23" s="661">
        <v>5570</v>
      </c>
      <c r="G23" s="661">
        <v>26</v>
      </c>
      <c r="H23" s="53" t="str">
        <f t="shared" si="1"/>
        <v>m³</v>
      </c>
      <c r="I23" s="623">
        <v>1.39</v>
      </c>
      <c r="J23" s="136"/>
      <c r="K23" s="312"/>
      <c r="L23" s="516"/>
      <c r="M23" s="312"/>
      <c r="N23" s="444"/>
      <c r="O23" s="312"/>
      <c r="P23" s="315"/>
      <c r="Q23" s="315"/>
      <c r="R23" s="315"/>
      <c r="S23" s="315"/>
      <c r="T23" s="315"/>
      <c r="U23" s="315"/>
    </row>
    <row r="24" spans="1:21" x14ac:dyDescent="0.25">
      <c r="A24" s="52">
        <f>IF(COUNTBLANK(B24)=1," ",COUNTA($B$12:B24))</f>
        <v>11</v>
      </c>
      <c r="B24" s="9" t="s">
        <v>14</v>
      </c>
      <c r="C24" s="742" t="s">
        <v>499</v>
      </c>
      <c r="D24" s="661">
        <v>60</v>
      </c>
      <c r="E24" s="723">
        <v>160</v>
      </c>
      <c r="F24" s="661">
        <v>4932</v>
      </c>
      <c r="G24" s="661">
        <v>1</v>
      </c>
      <c r="H24" s="53" t="str">
        <f t="shared" si="1"/>
        <v>m³</v>
      </c>
      <c r="I24" s="623">
        <v>4.7E-2</v>
      </c>
      <c r="J24" s="136"/>
      <c r="K24" s="312"/>
      <c r="L24" s="516"/>
      <c r="M24" s="312"/>
      <c r="N24" s="444"/>
      <c r="O24" s="312"/>
      <c r="P24" s="315"/>
      <c r="Q24" s="315"/>
      <c r="R24" s="315"/>
      <c r="S24" s="315"/>
      <c r="T24" s="315"/>
      <c r="U24" s="315"/>
    </row>
    <row r="25" spans="1:21" x14ac:dyDescent="0.25">
      <c r="A25" s="52">
        <f>IF(COUNTBLANK(B25)=1," ",COUNTA($B$12:B25))</f>
        <v>12</v>
      </c>
      <c r="B25" s="9" t="s">
        <v>14</v>
      </c>
      <c r="C25" s="742" t="s">
        <v>499</v>
      </c>
      <c r="D25" s="661">
        <v>60</v>
      </c>
      <c r="E25" s="723">
        <v>160</v>
      </c>
      <c r="F25" s="661">
        <v>4055</v>
      </c>
      <c r="G25" s="661">
        <v>1</v>
      </c>
      <c r="H25" s="53" t="str">
        <f t="shared" si="1"/>
        <v>m³</v>
      </c>
      <c r="I25" s="623">
        <v>3.9E-2</v>
      </c>
      <c r="J25" s="136"/>
      <c r="K25" s="312"/>
      <c r="L25" s="516"/>
      <c r="M25" s="312"/>
      <c r="N25" s="444"/>
      <c r="O25" s="312"/>
      <c r="P25" s="315"/>
      <c r="Q25" s="315"/>
      <c r="R25" s="315"/>
      <c r="S25" s="315"/>
      <c r="T25" s="315"/>
      <c r="U25" s="315"/>
    </row>
    <row r="26" spans="1:21" x14ac:dyDescent="0.25">
      <c r="A26" s="52">
        <f>IF(COUNTBLANK(B26)=1," ",COUNTA($B$12:B26))</f>
        <v>13</v>
      </c>
      <c r="B26" s="9" t="s">
        <v>14</v>
      </c>
      <c r="C26" s="742" t="s">
        <v>499</v>
      </c>
      <c r="D26" s="661">
        <v>60</v>
      </c>
      <c r="E26" s="723">
        <v>160</v>
      </c>
      <c r="F26" s="661">
        <v>3176</v>
      </c>
      <c r="G26" s="661">
        <v>1</v>
      </c>
      <c r="H26" s="53" t="str">
        <f t="shared" si="1"/>
        <v>m³</v>
      </c>
      <c r="I26" s="623">
        <v>0.03</v>
      </c>
      <c r="J26" s="136"/>
      <c r="K26" s="312"/>
      <c r="L26" s="516"/>
      <c r="M26" s="312"/>
      <c r="N26" s="444"/>
      <c r="O26" s="312"/>
      <c r="P26" s="315"/>
      <c r="Q26" s="315"/>
      <c r="R26" s="315"/>
      <c r="S26" s="315"/>
      <c r="T26" s="315"/>
      <c r="U26" s="315"/>
    </row>
    <row r="27" spans="1:21" x14ac:dyDescent="0.25">
      <c r="A27" s="52">
        <f>IF(COUNTBLANK(B27)=1," ",COUNTA($B$12:B27))</f>
        <v>14</v>
      </c>
      <c r="B27" s="9" t="s">
        <v>14</v>
      </c>
      <c r="C27" s="742" t="s">
        <v>499</v>
      </c>
      <c r="D27" s="661">
        <v>60</v>
      </c>
      <c r="E27" s="723">
        <v>160</v>
      </c>
      <c r="F27" s="661">
        <v>2297</v>
      </c>
      <c r="G27" s="661">
        <v>1</v>
      </c>
      <c r="H27" s="53" t="str">
        <f t="shared" si="1"/>
        <v>m³</v>
      </c>
      <c r="I27" s="623">
        <v>2.1999999999999999E-2</v>
      </c>
      <c r="J27" s="136"/>
      <c r="K27" s="312"/>
      <c r="L27" s="516"/>
      <c r="M27" s="312"/>
      <c r="N27" s="444"/>
      <c r="O27" s="312"/>
      <c r="P27" s="315"/>
      <c r="Q27" s="315"/>
      <c r="R27" s="315"/>
      <c r="S27" s="315"/>
      <c r="T27" s="315"/>
      <c r="U27" s="315"/>
    </row>
    <row r="28" spans="1:21" x14ac:dyDescent="0.25">
      <c r="A28" s="52">
        <f>IF(COUNTBLANK(B28)=1," ",COUNTA($B$12:B28))</f>
        <v>15</v>
      </c>
      <c r="B28" s="9" t="s">
        <v>14</v>
      </c>
      <c r="C28" s="742" t="s">
        <v>499</v>
      </c>
      <c r="D28" s="661">
        <v>60</v>
      </c>
      <c r="E28" s="723">
        <v>160</v>
      </c>
      <c r="F28" s="661">
        <v>1419</v>
      </c>
      <c r="G28" s="661">
        <v>1</v>
      </c>
      <c r="H28" s="53" t="str">
        <f t="shared" si="1"/>
        <v>m³</v>
      </c>
      <c r="I28" s="623">
        <v>1.4E-2</v>
      </c>
      <c r="J28" s="136"/>
      <c r="K28" s="312"/>
      <c r="L28" s="516"/>
      <c r="M28" s="312"/>
      <c r="N28" s="444"/>
      <c r="O28" s="312"/>
      <c r="P28" s="315"/>
      <c r="Q28" s="315"/>
      <c r="R28" s="315"/>
      <c r="S28" s="315"/>
      <c r="T28" s="315"/>
      <c r="U28" s="315"/>
    </row>
    <row r="29" spans="1:21" x14ac:dyDescent="0.25">
      <c r="A29" s="52">
        <f>IF(COUNTBLANK(B29)=1," ",COUNTA($B$12:B29))</f>
        <v>16</v>
      </c>
      <c r="B29" s="9" t="s">
        <v>14</v>
      </c>
      <c r="C29" s="742" t="s">
        <v>499</v>
      </c>
      <c r="D29" s="661">
        <v>60</v>
      </c>
      <c r="E29" s="723">
        <v>160</v>
      </c>
      <c r="F29" s="661">
        <v>1430</v>
      </c>
      <c r="G29" s="661">
        <v>1</v>
      </c>
      <c r="H29" s="53" t="str">
        <f t="shared" si="1"/>
        <v>m³</v>
      </c>
      <c r="I29" s="623">
        <v>1.4E-2</v>
      </c>
      <c r="J29" s="136"/>
      <c r="K29" s="312"/>
      <c r="L29" s="516"/>
      <c r="M29" s="312"/>
      <c r="N29" s="444"/>
      <c r="O29" s="312"/>
      <c r="P29" s="315"/>
      <c r="Q29" s="315"/>
      <c r="R29" s="315"/>
      <c r="S29" s="315"/>
      <c r="T29" s="315"/>
      <c r="U29" s="315"/>
    </row>
    <row r="30" spans="1:21" x14ac:dyDescent="0.25">
      <c r="A30" s="52">
        <f>IF(COUNTBLANK(B30)=1," ",COUNTA($B$12:B30))</f>
        <v>17</v>
      </c>
      <c r="B30" s="9" t="s">
        <v>14</v>
      </c>
      <c r="C30" s="742" t="s">
        <v>499</v>
      </c>
      <c r="D30" s="661">
        <v>60</v>
      </c>
      <c r="E30" s="723">
        <v>160</v>
      </c>
      <c r="F30" s="661">
        <v>2305</v>
      </c>
      <c r="G30" s="661">
        <v>1</v>
      </c>
      <c r="H30" s="53" t="str">
        <f t="shared" si="1"/>
        <v>m³</v>
      </c>
      <c r="I30" s="623">
        <v>2.1999999999999999E-2</v>
      </c>
      <c r="J30" s="136"/>
      <c r="K30" s="312"/>
      <c r="L30" s="516"/>
      <c r="M30" s="312"/>
      <c r="N30" s="444"/>
      <c r="O30" s="312"/>
      <c r="P30" s="315"/>
      <c r="Q30" s="315"/>
      <c r="R30" s="315"/>
      <c r="S30" s="315"/>
      <c r="T30" s="315"/>
      <c r="U30" s="315"/>
    </row>
    <row r="31" spans="1:21" x14ac:dyDescent="0.25">
      <c r="A31" s="52">
        <f>IF(COUNTBLANK(B31)=1," ",COUNTA($B$12:B31))</f>
        <v>18</v>
      </c>
      <c r="B31" s="9" t="s">
        <v>14</v>
      </c>
      <c r="C31" s="742" t="s">
        <v>499</v>
      </c>
      <c r="D31" s="661">
        <v>60</v>
      </c>
      <c r="E31" s="723">
        <v>160</v>
      </c>
      <c r="F31" s="661">
        <v>3180</v>
      </c>
      <c r="G31" s="661">
        <v>1</v>
      </c>
      <c r="H31" s="53" t="str">
        <f t="shared" si="1"/>
        <v>m³</v>
      </c>
      <c r="I31" s="623">
        <v>3.1E-2</v>
      </c>
      <c r="J31" s="136"/>
      <c r="K31" s="312"/>
      <c r="L31" s="516"/>
      <c r="M31" s="312"/>
      <c r="N31" s="444"/>
      <c r="O31" s="312"/>
      <c r="P31" s="315"/>
      <c r="Q31" s="315"/>
      <c r="R31" s="315"/>
      <c r="S31" s="315"/>
      <c r="T31" s="315"/>
      <c r="U31" s="315"/>
    </row>
    <row r="32" spans="1:21" x14ac:dyDescent="0.25">
      <c r="A32" s="52">
        <f>IF(COUNTBLANK(B32)=1," ",COUNTA($B$12:B32))</f>
        <v>19</v>
      </c>
      <c r="B32" s="9" t="s">
        <v>14</v>
      </c>
      <c r="C32" s="742" t="s">
        <v>499</v>
      </c>
      <c r="D32" s="661">
        <v>60</v>
      </c>
      <c r="E32" s="723">
        <v>160</v>
      </c>
      <c r="F32" s="661">
        <v>4054</v>
      </c>
      <c r="G32" s="661">
        <v>1</v>
      </c>
      <c r="H32" s="53" t="str">
        <f t="shared" si="1"/>
        <v>m³</v>
      </c>
      <c r="I32" s="623">
        <v>3.9E-2</v>
      </c>
      <c r="J32" s="136"/>
      <c r="K32" s="312"/>
      <c r="L32" s="516"/>
      <c r="M32" s="312"/>
      <c r="N32" s="444"/>
      <c r="O32" s="312"/>
      <c r="P32" s="315"/>
      <c r="Q32" s="315"/>
      <c r="R32" s="315"/>
      <c r="S32" s="315"/>
      <c r="T32" s="315"/>
      <c r="U32" s="315"/>
    </row>
    <row r="33" spans="1:21" x14ac:dyDescent="0.25">
      <c r="A33" s="52">
        <f>IF(COUNTBLANK(B33)=1," ",COUNTA($B$12:B33))</f>
        <v>20</v>
      </c>
      <c r="B33" s="9" t="s">
        <v>14</v>
      </c>
      <c r="C33" s="742" t="s">
        <v>499</v>
      </c>
      <c r="D33" s="661">
        <v>60</v>
      </c>
      <c r="E33" s="723">
        <v>160</v>
      </c>
      <c r="F33" s="661">
        <v>3083</v>
      </c>
      <c r="G33" s="661">
        <v>1</v>
      </c>
      <c r="H33" s="53" t="str">
        <f t="shared" si="1"/>
        <v>m³</v>
      </c>
      <c r="I33" s="623">
        <v>0.03</v>
      </c>
      <c r="J33" s="136"/>
      <c r="K33" s="312"/>
      <c r="L33" s="516"/>
      <c r="M33" s="312"/>
      <c r="N33" s="444"/>
      <c r="O33" s="312"/>
      <c r="P33" s="315"/>
      <c r="Q33" s="315"/>
      <c r="R33" s="315"/>
      <c r="S33" s="315"/>
      <c r="T33" s="315"/>
      <c r="U33" s="315"/>
    </row>
    <row r="34" spans="1:21" x14ac:dyDescent="0.25">
      <c r="A34" s="52">
        <f>IF(COUNTBLANK(B34)=1," ",COUNTA($B$12:B34))</f>
        <v>21</v>
      </c>
      <c r="B34" s="9" t="s">
        <v>14</v>
      </c>
      <c r="C34" s="742" t="s">
        <v>499</v>
      </c>
      <c r="D34" s="661">
        <v>60</v>
      </c>
      <c r="E34" s="723">
        <v>160</v>
      </c>
      <c r="F34" s="661">
        <v>4894</v>
      </c>
      <c r="G34" s="661">
        <v>1</v>
      </c>
      <c r="H34" s="53" t="str">
        <f t="shared" si="1"/>
        <v>m³</v>
      </c>
      <c r="I34" s="623">
        <v>4.7E-2</v>
      </c>
      <c r="J34" s="136"/>
      <c r="K34" s="312"/>
      <c r="L34" s="516"/>
      <c r="M34" s="312"/>
      <c r="N34" s="444"/>
      <c r="O34" s="312"/>
      <c r="P34" s="315"/>
      <c r="Q34" s="315"/>
      <c r="R34" s="315"/>
      <c r="S34" s="315"/>
      <c r="T34" s="315"/>
      <c r="U34" s="315"/>
    </row>
    <row r="35" spans="1:21" x14ac:dyDescent="0.25">
      <c r="A35" s="52">
        <f>IF(COUNTBLANK(B35)=1," ",COUNTA($B$12:B35))</f>
        <v>22</v>
      </c>
      <c r="B35" s="9" t="s">
        <v>14</v>
      </c>
      <c r="C35" s="742" t="s">
        <v>499</v>
      </c>
      <c r="D35" s="661">
        <v>60</v>
      </c>
      <c r="E35" s="723">
        <v>160</v>
      </c>
      <c r="F35" s="661">
        <v>4018</v>
      </c>
      <c r="G35" s="661">
        <v>1</v>
      </c>
      <c r="H35" s="53" t="str">
        <f t="shared" si="1"/>
        <v>m³</v>
      </c>
      <c r="I35" s="623">
        <v>3.9E-2</v>
      </c>
      <c r="J35" s="136"/>
      <c r="K35" s="312"/>
      <c r="L35" s="516"/>
      <c r="M35" s="312"/>
      <c r="N35" s="444"/>
      <c r="O35" s="312"/>
      <c r="P35" s="315"/>
      <c r="Q35" s="315"/>
      <c r="R35" s="315"/>
      <c r="S35" s="315"/>
      <c r="T35" s="315"/>
      <c r="U35" s="315"/>
    </row>
    <row r="36" spans="1:21" x14ac:dyDescent="0.25">
      <c r="A36" s="52">
        <f>IF(COUNTBLANK(B36)=1," ",COUNTA($B$12:B36))</f>
        <v>23</v>
      </c>
      <c r="B36" s="9" t="s">
        <v>14</v>
      </c>
      <c r="C36" s="742" t="s">
        <v>459</v>
      </c>
      <c r="D36" s="635">
        <v>60</v>
      </c>
      <c r="E36" s="634">
        <v>160</v>
      </c>
      <c r="F36" s="635">
        <v>3132</v>
      </c>
      <c r="G36" s="635">
        <v>1</v>
      </c>
      <c r="H36" s="53" t="str">
        <f t="shared" si="1"/>
        <v>m³</v>
      </c>
      <c r="I36" s="623">
        <v>0.03</v>
      </c>
      <c r="J36" s="136"/>
      <c r="K36" s="312"/>
      <c r="L36" s="516"/>
      <c r="M36" s="312"/>
      <c r="N36" s="444"/>
      <c r="O36" s="312"/>
      <c r="P36" s="315"/>
      <c r="Q36" s="315"/>
      <c r="R36" s="315"/>
      <c r="S36" s="315"/>
      <c r="T36" s="315"/>
      <c r="U36" s="315"/>
    </row>
    <row r="37" spans="1:21" x14ac:dyDescent="0.25">
      <c r="A37" s="52">
        <f>IF(COUNTBLANK(B37)=1," ",COUNTA($B$12:B37))</f>
        <v>24</v>
      </c>
      <c r="B37" s="9" t="s">
        <v>14</v>
      </c>
      <c r="C37" s="742" t="s">
        <v>459</v>
      </c>
      <c r="D37" s="723">
        <v>60</v>
      </c>
      <c r="E37" s="661">
        <v>160</v>
      </c>
      <c r="F37" s="723">
        <v>2266</v>
      </c>
      <c r="G37" s="723">
        <v>1</v>
      </c>
      <c r="H37" s="53" t="str">
        <f t="shared" si="1"/>
        <v>m³</v>
      </c>
      <c r="I37" s="623">
        <v>2.1999999999999999E-2</v>
      </c>
      <c r="J37" s="136"/>
      <c r="K37" s="312"/>
      <c r="L37" s="516"/>
      <c r="M37" s="312"/>
      <c r="N37" s="444"/>
      <c r="O37" s="312"/>
      <c r="P37" s="315"/>
      <c r="Q37" s="315"/>
      <c r="R37" s="315"/>
      <c r="S37" s="315"/>
      <c r="T37" s="315"/>
      <c r="U37" s="315"/>
    </row>
    <row r="38" spans="1:21" x14ac:dyDescent="0.25">
      <c r="A38" s="52">
        <f>IF(COUNTBLANK(B38)=1," ",COUNTA($B$12:B38))</f>
        <v>25</v>
      </c>
      <c r="B38" s="9" t="s">
        <v>14</v>
      </c>
      <c r="C38" s="742" t="s">
        <v>459</v>
      </c>
      <c r="D38" s="723">
        <v>60</v>
      </c>
      <c r="E38" s="661">
        <v>160</v>
      </c>
      <c r="F38" s="723">
        <v>1390</v>
      </c>
      <c r="G38" s="723">
        <v>1</v>
      </c>
      <c r="H38" s="53" t="str">
        <f t="shared" si="1"/>
        <v>m³</v>
      </c>
      <c r="I38" s="623">
        <v>1.2999999999999999E-2</v>
      </c>
      <c r="J38" s="136"/>
      <c r="K38" s="312"/>
      <c r="L38" s="516"/>
      <c r="M38" s="312"/>
      <c r="N38" s="444"/>
      <c r="O38" s="312"/>
      <c r="P38" s="315"/>
      <c r="Q38" s="315"/>
      <c r="R38" s="315"/>
      <c r="S38" s="315"/>
      <c r="T38" s="315"/>
      <c r="U38" s="315"/>
    </row>
    <row r="39" spans="1:21" x14ac:dyDescent="0.25">
      <c r="A39" s="52">
        <f>IF(COUNTBLANK(B39)=1," ",COUNTA($B$12:B39))</f>
        <v>26</v>
      </c>
      <c r="B39" s="9" t="s">
        <v>14</v>
      </c>
      <c r="C39" s="742" t="s">
        <v>459</v>
      </c>
      <c r="D39" s="723">
        <v>60</v>
      </c>
      <c r="E39" s="661">
        <v>160</v>
      </c>
      <c r="F39" s="723">
        <v>1433</v>
      </c>
      <c r="G39" s="723">
        <v>1</v>
      </c>
      <c r="H39" s="53" t="str">
        <f t="shared" si="1"/>
        <v>m³</v>
      </c>
      <c r="I39" s="623">
        <v>1.4E-2</v>
      </c>
      <c r="J39" s="136"/>
      <c r="K39" s="312"/>
      <c r="L39" s="516"/>
      <c r="M39" s="312"/>
      <c r="N39" s="444"/>
      <c r="O39" s="312"/>
      <c r="P39" s="315"/>
      <c r="Q39" s="315"/>
      <c r="R39" s="315"/>
      <c r="S39" s="315"/>
      <c r="T39" s="315"/>
      <c r="U39" s="315"/>
    </row>
    <row r="40" spans="1:21" x14ac:dyDescent="0.25">
      <c r="A40" s="52">
        <f>IF(COUNTBLANK(B40)=1," ",COUNTA($B$12:B40))</f>
        <v>27</v>
      </c>
      <c r="B40" s="9" t="s">
        <v>14</v>
      </c>
      <c r="C40" s="742" t="s">
        <v>459</v>
      </c>
      <c r="D40" s="723">
        <v>60</v>
      </c>
      <c r="E40" s="661">
        <v>160</v>
      </c>
      <c r="F40" s="723">
        <v>2309</v>
      </c>
      <c r="G40" s="723">
        <v>1</v>
      </c>
      <c r="H40" s="53" t="str">
        <f t="shared" si="1"/>
        <v>m³</v>
      </c>
      <c r="I40" s="623">
        <v>2.1999999999999999E-2</v>
      </c>
      <c r="J40" s="136"/>
      <c r="K40" s="312"/>
      <c r="L40" s="516"/>
      <c r="M40" s="312"/>
      <c r="N40" s="444"/>
      <c r="O40" s="312"/>
      <c r="P40" s="315"/>
      <c r="Q40" s="315"/>
      <c r="R40" s="315"/>
      <c r="S40" s="315"/>
      <c r="T40" s="315"/>
      <c r="U40" s="315"/>
    </row>
    <row r="41" spans="1:21" x14ac:dyDescent="0.25">
      <c r="A41" s="52">
        <f>IF(COUNTBLANK(B41)=1," ",COUNTA($B$12:B41))</f>
        <v>28</v>
      </c>
      <c r="B41" s="9" t="s">
        <v>14</v>
      </c>
      <c r="C41" s="742" t="s">
        <v>459</v>
      </c>
      <c r="D41" s="723">
        <v>60</v>
      </c>
      <c r="E41" s="661">
        <v>160</v>
      </c>
      <c r="F41" s="723">
        <v>3185</v>
      </c>
      <c r="G41" s="723">
        <v>1</v>
      </c>
      <c r="H41" s="53" t="str">
        <f t="shared" si="1"/>
        <v>m³</v>
      </c>
      <c r="I41" s="623">
        <v>3.1E-2</v>
      </c>
      <c r="J41" s="136"/>
      <c r="K41" s="312"/>
      <c r="L41" s="516"/>
      <c r="M41" s="312"/>
      <c r="N41" s="444"/>
      <c r="O41" s="312"/>
      <c r="P41" s="315"/>
      <c r="Q41" s="315"/>
      <c r="R41" s="315"/>
      <c r="S41" s="315"/>
      <c r="T41" s="315"/>
      <c r="U41" s="315"/>
    </row>
    <row r="42" spans="1:21" x14ac:dyDescent="0.25">
      <c r="A42" s="52">
        <f>IF(COUNTBLANK(B42)=1," ",COUNTA($B$12:B42))</f>
        <v>29</v>
      </c>
      <c r="B42" s="9" t="s">
        <v>14</v>
      </c>
      <c r="C42" s="742" t="s">
        <v>459</v>
      </c>
      <c r="D42" s="723">
        <v>60</v>
      </c>
      <c r="E42" s="661">
        <v>160</v>
      </c>
      <c r="F42" s="723">
        <v>4061</v>
      </c>
      <c r="G42" s="723">
        <v>1</v>
      </c>
      <c r="H42" s="53" t="str">
        <f t="shared" si="1"/>
        <v>m³</v>
      </c>
      <c r="I42" s="623">
        <v>3.9E-2</v>
      </c>
      <c r="J42" s="136"/>
      <c r="K42" s="312"/>
      <c r="L42" s="516"/>
      <c r="M42" s="312"/>
      <c r="N42" s="444"/>
      <c r="O42" s="312"/>
      <c r="P42" s="315"/>
      <c r="Q42" s="315"/>
      <c r="R42" s="315"/>
      <c r="S42" s="315"/>
      <c r="T42" s="315"/>
      <c r="U42" s="315"/>
    </row>
    <row r="43" spans="1:21" x14ac:dyDescent="0.25">
      <c r="A43" s="52">
        <f>IF(COUNTBLANK(B43)=1," ",COUNTA($B$12:B43))</f>
        <v>30</v>
      </c>
      <c r="B43" s="9" t="s">
        <v>14</v>
      </c>
      <c r="C43" s="742" t="s">
        <v>459</v>
      </c>
      <c r="D43" s="723">
        <v>60</v>
      </c>
      <c r="E43" s="661">
        <v>160</v>
      </c>
      <c r="F43" s="723">
        <v>4937</v>
      </c>
      <c r="G43" s="723">
        <v>1</v>
      </c>
      <c r="H43" s="53" t="str">
        <f t="shared" si="1"/>
        <v>m³</v>
      </c>
      <c r="I43" s="623">
        <v>4.7E-2</v>
      </c>
      <c r="J43" s="136"/>
      <c r="K43" s="312"/>
      <c r="L43" s="516"/>
      <c r="M43" s="312"/>
      <c r="N43" s="444"/>
      <c r="O43" s="312"/>
      <c r="P43" s="315"/>
      <c r="Q43" s="315"/>
      <c r="R43" s="315"/>
      <c r="S43" s="315"/>
      <c r="T43" s="315"/>
      <c r="U43" s="315"/>
    </row>
    <row r="44" spans="1:21" x14ac:dyDescent="0.25">
      <c r="A44" s="52">
        <f>IF(COUNTBLANK(B44)=1," ",COUNTA($B$12:B44))</f>
        <v>31</v>
      </c>
      <c r="B44" s="9" t="s">
        <v>14</v>
      </c>
      <c r="C44" s="742" t="s">
        <v>500</v>
      </c>
      <c r="D44" s="723">
        <v>150</v>
      </c>
      <c r="E44" s="661">
        <v>200</v>
      </c>
      <c r="F44" s="723">
        <v>8834</v>
      </c>
      <c r="G44" s="723">
        <v>1</v>
      </c>
      <c r="H44" s="53" t="str">
        <f t="shared" si="1"/>
        <v>m³</v>
      </c>
      <c r="I44" s="623">
        <v>0.26500000000000001</v>
      </c>
      <c r="J44" s="136"/>
      <c r="K44" s="312"/>
      <c r="L44" s="516"/>
      <c r="M44" s="312"/>
      <c r="N44" s="444"/>
      <c r="O44" s="312"/>
      <c r="P44" s="315"/>
      <c r="Q44" s="315"/>
      <c r="R44" s="315"/>
      <c r="S44" s="315"/>
      <c r="T44" s="315"/>
      <c r="U44" s="315"/>
    </row>
    <row r="45" spans="1:21" x14ac:dyDescent="0.25">
      <c r="A45" s="52">
        <f>IF(COUNTBLANK(B45)=1," ",COUNTA($B$12:B45))</f>
        <v>32</v>
      </c>
      <c r="B45" s="9" t="s">
        <v>14</v>
      </c>
      <c r="C45" s="742" t="s">
        <v>500</v>
      </c>
      <c r="D45" s="723">
        <v>150</v>
      </c>
      <c r="E45" s="661">
        <v>200</v>
      </c>
      <c r="F45" s="723">
        <v>6510</v>
      </c>
      <c r="G45" s="723">
        <v>2</v>
      </c>
      <c r="H45" s="53" t="str">
        <f t="shared" si="1"/>
        <v>m³</v>
      </c>
      <c r="I45" s="623">
        <v>0.39100000000000001</v>
      </c>
      <c r="J45" s="136"/>
      <c r="K45" s="312"/>
      <c r="L45" s="516"/>
      <c r="M45" s="312"/>
      <c r="N45" s="444"/>
      <c r="O45" s="312"/>
      <c r="P45" s="315"/>
      <c r="Q45" s="315"/>
      <c r="R45" s="315"/>
      <c r="S45" s="315"/>
      <c r="T45" s="315"/>
      <c r="U45" s="315"/>
    </row>
    <row r="46" spans="1:21" x14ac:dyDescent="0.25">
      <c r="A46" s="52">
        <f>IF(COUNTBLANK(B46)=1," ",COUNTA($B$12:B46))</f>
        <v>33</v>
      </c>
      <c r="B46" s="9" t="s">
        <v>14</v>
      </c>
      <c r="C46" s="742" t="s">
        <v>500</v>
      </c>
      <c r="D46" s="723">
        <v>150</v>
      </c>
      <c r="E46" s="661">
        <v>200</v>
      </c>
      <c r="F46" s="723">
        <v>8856</v>
      </c>
      <c r="G46" s="723">
        <v>1</v>
      </c>
      <c r="H46" s="53" t="str">
        <f t="shared" si="1"/>
        <v>m³</v>
      </c>
      <c r="I46" s="623">
        <v>0.26600000000000001</v>
      </c>
      <c r="J46" s="136"/>
      <c r="K46" s="312"/>
      <c r="L46" s="516"/>
      <c r="M46" s="312"/>
      <c r="N46" s="444"/>
      <c r="O46" s="312"/>
      <c r="P46" s="315"/>
      <c r="Q46" s="315"/>
      <c r="R46" s="315"/>
      <c r="S46" s="315"/>
      <c r="T46" s="315"/>
      <c r="U46" s="315"/>
    </row>
    <row r="47" spans="1:21" x14ac:dyDescent="0.25">
      <c r="A47" s="52">
        <f>IF(COUNTBLANK(B47)=1," ",COUNTA($B$12:B47))</f>
        <v>34</v>
      </c>
      <c r="B47" s="9" t="s">
        <v>14</v>
      </c>
      <c r="C47" s="822" t="s">
        <v>461</v>
      </c>
      <c r="D47" s="723">
        <v>30</v>
      </c>
      <c r="E47" s="661">
        <v>160</v>
      </c>
      <c r="F47" s="723">
        <v>1015</v>
      </c>
      <c r="G47" s="723">
        <v>124</v>
      </c>
      <c r="H47" s="53" t="str">
        <f t="shared" si="1"/>
        <v>m³</v>
      </c>
      <c r="I47" s="623">
        <v>0.60399999999999998</v>
      </c>
      <c r="J47" s="136"/>
      <c r="K47" s="312"/>
      <c r="L47" s="516"/>
      <c r="M47" s="312"/>
      <c r="N47" s="444"/>
      <c r="O47" s="312"/>
      <c r="P47" s="315"/>
      <c r="Q47" s="315"/>
      <c r="R47" s="315"/>
      <c r="S47" s="315"/>
      <c r="T47" s="315"/>
      <c r="U47" s="315"/>
    </row>
    <row r="48" spans="1:21" x14ac:dyDescent="0.25">
      <c r="A48" s="52">
        <f>IF(COUNTBLANK(B48)=1," ",COUNTA($B$12:B48))</f>
        <v>35</v>
      </c>
      <c r="B48" s="9" t="s">
        <v>14</v>
      </c>
      <c r="C48" s="822"/>
      <c r="D48" s="723">
        <v>60</v>
      </c>
      <c r="E48" s="661">
        <v>160</v>
      </c>
      <c r="F48" s="723">
        <v>365</v>
      </c>
      <c r="G48" s="723">
        <v>62</v>
      </c>
      <c r="H48" s="53" t="str">
        <f t="shared" si="1"/>
        <v>m³</v>
      </c>
      <c r="I48" s="623">
        <v>0.217</v>
      </c>
      <c r="J48" s="136"/>
      <c r="K48" s="312"/>
      <c r="L48" s="516"/>
      <c r="M48" s="312"/>
      <c r="N48" s="444"/>
      <c r="O48" s="312"/>
      <c r="P48" s="315"/>
      <c r="Q48" s="315"/>
      <c r="R48" s="315"/>
      <c r="S48" s="315"/>
      <c r="T48" s="315"/>
      <c r="U48" s="315"/>
    </row>
    <row r="49" spans="1:21" x14ac:dyDescent="0.25">
      <c r="A49" s="52">
        <f>IF(COUNTBLANK(B49)=1," ",COUNTA($B$12:B49))</f>
        <v>36</v>
      </c>
      <c r="B49" s="9" t="s">
        <v>14</v>
      </c>
      <c r="C49" s="742" t="s">
        <v>462</v>
      </c>
      <c r="D49" s="723">
        <v>60</v>
      </c>
      <c r="E49" s="661">
        <v>160</v>
      </c>
      <c r="F49" s="723">
        <v>1970</v>
      </c>
      <c r="G49" s="723">
        <v>8</v>
      </c>
      <c r="H49" s="53" t="str">
        <f t="shared" si="1"/>
        <v>m³</v>
      </c>
      <c r="I49" s="623">
        <v>0.15129600000000001</v>
      </c>
      <c r="J49" s="136"/>
      <c r="K49" s="312"/>
      <c r="L49" s="516"/>
      <c r="M49" s="312"/>
      <c r="N49" s="444"/>
      <c r="O49" s="312"/>
      <c r="P49" s="315"/>
      <c r="Q49" s="315"/>
      <c r="R49" s="315"/>
      <c r="S49" s="315"/>
      <c r="T49" s="315"/>
      <c r="U49" s="315"/>
    </row>
    <row r="50" spans="1:21" x14ac:dyDescent="0.25">
      <c r="A50" s="52">
        <f>IF(COUNTBLANK(B50)=1," ",COUNTA($B$12:B50))</f>
        <v>37</v>
      </c>
      <c r="B50" s="9" t="s">
        <v>14</v>
      </c>
      <c r="C50" s="742" t="s">
        <v>460</v>
      </c>
      <c r="D50" s="723">
        <v>30</v>
      </c>
      <c r="E50" s="661">
        <v>160</v>
      </c>
      <c r="F50" s="723">
        <v>3000</v>
      </c>
      <c r="G50" s="723">
        <v>80</v>
      </c>
      <c r="H50" s="53" t="str">
        <f t="shared" si="1"/>
        <v>m³</v>
      </c>
      <c r="I50" s="623">
        <v>1.1519999999999999</v>
      </c>
      <c r="J50" s="136"/>
      <c r="K50" s="312"/>
      <c r="L50" s="516"/>
      <c r="M50" s="312"/>
      <c r="N50" s="444"/>
      <c r="O50" s="312"/>
      <c r="P50" s="315"/>
      <c r="Q50" s="315"/>
      <c r="R50" s="315"/>
      <c r="S50" s="315"/>
      <c r="T50" s="315"/>
      <c r="U50" s="315"/>
    </row>
    <row r="51" spans="1:21" x14ac:dyDescent="0.25">
      <c r="A51" s="52">
        <f>IF(COUNTBLANK(B51)=1," ",COUNTA($B$12:B51))</f>
        <v>38</v>
      </c>
      <c r="B51" s="9" t="s">
        <v>14</v>
      </c>
      <c r="C51" s="742" t="s">
        <v>501</v>
      </c>
      <c r="D51" s="723">
        <v>100</v>
      </c>
      <c r="E51" s="661">
        <v>30</v>
      </c>
      <c r="F51" s="723">
        <v>4200</v>
      </c>
      <c r="G51" s="723">
        <v>368</v>
      </c>
      <c r="H51" s="53" t="str">
        <f t="shared" si="1"/>
        <v>m³</v>
      </c>
      <c r="I51" s="623">
        <v>4.6369999999999996</v>
      </c>
      <c r="J51" s="136"/>
      <c r="K51" s="312"/>
      <c r="L51" s="516"/>
      <c r="M51" s="312"/>
      <c r="N51" s="444"/>
      <c r="O51" s="312"/>
      <c r="P51" s="315"/>
      <c r="Q51" s="315"/>
      <c r="R51" s="315"/>
      <c r="S51" s="315"/>
      <c r="T51" s="315"/>
      <c r="U51" s="315"/>
    </row>
    <row r="52" spans="1:21" ht="22.5" x14ac:dyDescent="0.25">
      <c r="A52" s="359">
        <f>IF(COUNTBLANK(B52)=1," ",COUNTA($B$12:B52))</f>
        <v>39</v>
      </c>
      <c r="B52" s="288" t="s">
        <v>14</v>
      </c>
      <c r="C52" s="755" t="s">
        <v>719</v>
      </c>
      <c r="D52" s="755"/>
      <c r="E52" s="755"/>
      <c r="F52" s="755"/>
      <c r="G52" s="755"/>
      <c r="H52" s="756" t="s">
        <v>203</v>
      </c>
      <c r="I52" s="756">
        <v>1</v>
      </c>
      <c r="J52" s="291"/>
      <c r="K52" s="228"/>
      <c r="L52" s="393"/>
      <c r="M52" s="228"/>
      <c r="N52" s="228"/>
      <c r="O52" s="228"/>
      <c r="P52" s="313"/>
      <c r="Q52" s="313"/>
      <c r="R52" s="313"/>
      <c r="S52" s="313"/>
      <c r="T52" s="313"/>
      <c r="U52" s="313"/>
    </row>
    <row r="53" spans="1:21" ht="22.5" x14ac:dyDescent="0.25">
      <c r="A53" s="52">
        <f>IF(COUNTBLANK(B53)=1," ",COUNTA($B$12:B53))</f>
        <v>40</v>
      </c>
      <c r="B53" s="521" t="s">
        <v>14</v>
      </c>
      <c r="C53" s="451" t="s">
        <v>582</v>
      </c>
      <c r="D53" s="525"/>
      <c r="E53" s="526"/>
      <c r="F53" s="523"/>
      <c r="G53" s="229"/>
      <c r="H53" s="525" t="s">
        <v>17</v>
      </c>
      <c r="I53" s="526">
        <f>6.4*2*77</f>
        <v>985.6</v>
      </c>
      <c r="J53" s="523"/>
      <c r="K53" s="229"/>
      <c r="L53" s="522"/>
      <c r="M53" s="229"/>
      <c r="N53" s="229"/>
      <c r="O53" s="523"/>
      <c r="P53" s="524"/>
      <c r="Q53" s="524"/>
      <c r="R53" s="524"/>
      <c r="S53" s="524"/>
      <c r="T53" s="524"/>
      <c r="U53" s="524"/>
    </row>
    <row r="54" spans="1:21" x14ac:dyDescent="0.25">
      <c r="A54" s="52" t="str">
        <f>IF(COUNTBLANK(B54)=1," ",COUNTA($B$12:B54))</f>
        <v xml:space="preserve"> </v>
      </c>
      <c r="B54" s="546"/>
      <c r="C54" s="547" t="s">
        <v>583</v>
      </c>
      <c r="D54" s="548"/>
      <c r="E54" s="549"/>
      <c r="F54" s="552"/>
      <c r="G54" s="550"/>
      <c r="H54" s="548" t="s">
        <v>17</v>
      </c>
      <c r="I54" s="549">
        <f>I53*J54</f>
        <v>1084.1600000000001</v>
      </c>
      <c r="J54" s="552">
        <f>1.1</f>
        <v>1.1000000000000001</v>
      </c>
      <c r="K54" s="550"/>
      <c r="L54" s="551"/>
      <c r="M54" s="550"/>
      <c r="N54" s="550"/>
      <c r="O54" s="552"/>
      <c r="P54" s="553"/>
      <c r="Q54" s="553"/>
      <c r="R54" s="553"/>
      <c r="S54" s="553"/>
      <c r="T54" s="553"/>
      <c r="U54" s="553"/>
    </row>
    <row r="55" spans="1:21" ht="22.5" x14ac:dyDescent="0.25">
      <c r="A55" s="52">
        <f>IF(COUNTBLANK(B55)=1," ",COUNTA($B$12:B55))</f>
        <v>41</v>
      </c>
      <c r="B55" s="554" t="s">
        <v>14</v>
      </c>
      <c r="C55" s="52" t="s">
        <v>889</v>
      </c>
      <c r="D55" s="128"/>
      <c r="E55" s="230"/>
      <c r="F55" s="34"/>
      <c r="G55" s="34"/>
      <c r="H55" s="128" t="s">
        <v>17</v>
      </c>
      <c r="I55" s="230">
        <f>I53</f>
        <v>985.6</v>
      </c>
      <c r="J55" s="34"/>
      <c r="K55" s="34"/>
      <c r="L55" s="312"/>
      <c r="M55" s="34"/>
      <c r="N55" s="312"/>
      <c r="O55" s="34"/>
      <c r="P55" s="555"/>
      <c r="Q55" s="555"/>
      <c r="R55" s="555"/>
      <c r="S55" s="555"/>
      <c r="T55" s="555"/>
      <c r="U55" s="555"/>
    </row>
    <row r="56" spans="1:21" x14ac:dyDescent="0.25">
      <c r="A56" s="52" t="str">
        <f>IF(COUNTBLANK(B56)=1," ",COUNTA($B$12:B56))</f>
        <v xml:space="preserve"> </v>
      </c>
      <c r="B56" s="57"/>
      <c r="C56" s="52" t="s">
        <v>890</v>
      </c>
      <c r="D56" s="128"/>
      <c r="E56" s="34"/>
      <c r="F56" s="34"/>
      <c r="G56" s="34"/>
      <c r="H56" s="128" t="s">
        <v>17</v>
      </c>
      <c r="I56" s="34">
        <f>I55*J56</f>
        <v>1084.1600000000001</v>
      </c>
      <c r="J56" s="34">
        <v>1.1000000000000001</v>
      </c>
      <c r="K56" s="34"/>
      <c r="L56" s="34"/>
      <c r="M56" s="34"/>
      <c r="N56" s="34"/>
      <c r="O56" s="34"/>
      <c r="P56" s="555"/>
      <c r="Q56" s="555"/>
      <c r="R56" s="555"/>
      <c r="S56" s="555"/>
      <c r="T56" s="555"/>
      <c r="U56" s="555"/>
    </row>
    <row r="57" spans="1:21" x14ac:dyDescent="0.25">
      <c r="A57" s="52" t="str">
        <f>IF(COUNTBLANK(B57)=1," ",COUNTA($B$12:B57))</f>
        <v xml:space="preserve"> </v>
      </c>
      <c r="B57" s="57"/>
      <c r="C57" s="52" t="s">
        <v>580</v>
      </c>
      <c r="D57" s="57"/>
      <c r="E57" s="34"/>
      <c r="F57" s="34"/>
      <c r="G57" s="34"/>
      <c r="H57" s="57" t="s">
        <v>201</v>
      </c>
      <c r="I57" s="34">
        <f>I55*J57</f>
        <v>5913.6</v>
      </c>
      <c r="J57" s="34">
        <v>6</v>
      </c>
      <c r="K57" s="34"/>
      <c r="L57" s="34"/>
      <c r="M57" s="34"/>
      <c r="N57" s="34"/>
      <c r="O57" s="34"/>
      <c r="P57" s="555"/>
      <c r="Q57" s="555"/>
      <c r="R57" s="555"/>
      <c r="S57" s="555"/>
      <c r="T57" s="555"/>
      <c r="U57" s="555"/>
    </row>
    <row r="58" spans="1:21" x14ac:dyDescent="0.25">
      <c r="A58" s="52" t="str">
        <f>IF(COUNTBLANK(B58)=1," ",COUNTA($B$12:B58))</f>
        <v xml:space="preserve"> </v>
      </c>
      <c r="B58" s="57"/>
      <c r="C58" s="52" t="s">
        <v>581</v>
      </c>
      <c r="D58" s="57"/>
      <c r="E58" s="34"/>
      <c r="F58" s="34"/>
      <c r="G58" s="34"/>
      <c r="H58" s="57" t="s">
        <v>16</v>
      </c>
      <c r="I58" s="34">
        <f>I55*J58</f>
        <v>985.6</v>
      </c>
      <c r="J58" s="34">
        <v>1</v>
      </c>
      <c r="K58" s="34"/>
      <c r="L58" s="34"/>
      <c r="M58" s="34"/>
      <c r="N58" s="34"/>
      <c r="O58" s="34"/>
      <c r="P58" s="555"/>
      <c r="Q58" s="555"/>
      <c r="R58" s="555"/>
      <c r="S58" s="555"/>
      <c r="T58" s="555"/>
      <c r="U58" s="555"/>
    </row>
    <row r="59" spans="1:21" ht="33.75" x14ac:dyDescent="0.25">
      <c r="A59" s="52">
        <f>IF(COUNTBLANK(B59)=1," ",COUNTA($B$12:B59))</f>
        <v>42</v>
      </c>
      <c r="B59" s="554" t="s">
        <v>14</v>
      </c>
      <c r="C59" s="556" t="s">
        <v>703</v>
      </c>
      <c r="D59" s="557"/>
      <c r="E59" s="558"/>
      <c r="F59" s="312"/>
      <c r="G59" s="625"/>
      <c r="H59" s="557" t="s">
        <v>16</v>
      </c>
      <c r="I59" s="558">
        <f>3.3*3+9.3*3+6.5*13</f>
        <v>122.3</v>
      </c>
      <c r="J59" s="312"/>
      <c r="K59" s="625"/>
      <c r="L59" s="625"/>
      <c r="M59" s="625"/>
      <c r="N59" s="462"/>
      <c r="O59" s="462"/>
      <c r="P59" s="462"/>
      <c r="Q59" s="462"/>
      <c r="R59" s="462"/>
      <c r="S59" s="462"/>
      <c r="T59" s="462"/>
      <c r="U59" s="462"/>
    </row>
    <row r="60" spans="1:21" ht="22.5" x14ac:dyDescent="0.25">
      <c r="A60" s="52">
        <f>IF(COUNTBLANK(B60)=1," ",COUNTA($B$12:B60))</f>
        <v>43</v>
      </c>
      <c r="B60" s="554" t="s">
        <v>14</v>
      </c>
      <c r="C60" s="556" t="s">
        <v>704</v>
      </c>
      <c r="D60" s="557"/>
      <c r="E60" s="558"/>
      <c r="F60" s="312"/>
      <c r="G60" s="462"/>
      <c r="H60" s="557" t="s">
        <v>16</v>
      </c>
      <c r="I60" s="558">
        <f>17*25</f>
        <v>425</v>
      </c>
      <c r="J60" s="312"/>
      <c r="K60" s="625"/>
      <c r="L60" s="625"/>
      <c r="M60" s="625"/>
      <c r="N60" s="462"/>
      <c r="O60" s="462"/>
      <c r="P60" s="462"/>
      <c r="Q60" s="462"/>
      <c r="R60" s="462"/>
      <c r="S60" s="462"/>
      <c r="T60" s="462"/>
      <c r="U60" s="462"/>
    </row>
    <row r="61" spans="1:21" x14ac:dyDescent="0.25">
      <c r="A61" s="52">
        <f>IF(COUNTBLANK(B61)=1," ",COUNTA($B$12:B61))</f>
        <v>44</v>
      </c>
      <c r="B61" s="554" t="s">
        <v>14</v>
      </c>
      <c r="C61" s="556" t="s">
        <v>705</v>
      </c>
      <c r="D61" s="557"/>
      <c r="E61" s="558"/>
      <c r="F61" s="312"/>
      <c r="G61" s="462"/>
      <c r="H61" s="557" t="s">
        <v>201</v>
      </c>
      <c r="I61" s="558">
        <v>25</v>
      </c>
      <c r="J61" s="574"/>
      <c r="K61" s="626"/>
      <c r="L61" s="626"/>
      <c r="M61" s="626"/>
      <c r="N61" s="627"/>
      <c r="O61" s="627"/>
      <c r="P61" s="627"/>
      <c r="Q61" s="627"/>
      <c r="R61" s="627"/>
      <c r="S61" s="627"/>
      <c r="T61" s="462"/>
      <c r="U61" s="462"/>
    </row>
    <row r="62" spans="1:21" x14ac:dyDescent="0.25">
      <c r="A62" s="52">
        <f>IF(COUNTBLANK(B62)=1," ",COUNTA($B$12:B62))</f>
        <v>45</v>
      </c>
      <c r="B62" s="554" t="s">
        <v>14</v>
      </c>
      <c r="C62" s="846" t="s">
        <v>699</v>
      </c>
      <c r="D62" s="557"/>
      <c r="E62" s="558"/>
      <c r="F62" s="312"/>
      <c r="G62" s="462" t="s">
        <v>99</v>
      </c>
      <c r="H62" s="557" t="s">
        <v>16</v>
      </c>
      <c r="I62" s="558">
        <f>(I67-I66)*3</f>
        <v>27</v>
      </c>
      <c r="J62" s="574"/>
      <c r="K62" s="626"/>
      <c r="L62" s="626"/>
      <c r="M62" s="626"/>
      <c r="N62" s="627"/>
      <c r="O62" s="627"/>
      <c r="P62" s="627"/>
      <c r="Q62" s="627"/>
      <c r="R62" s="627"/>
      <c r="S62" s="627"/>
      <c r="T62" s="462"/>
      <c r="U62" s="462"/>
    </row>
    <row r="63" spans="1:21" x14ac:dyDescent="0.25">
      <c r="A63" s="52">
        <f>IF(COUNTBLANK(B63)=1," ",COUNTA($B$12:B63))</f>
        <v>46</v>
      </c>
      <c r="B63" s="554" t="s">
        <v>14</v>
      </c>
      <c r="C63" s="847"/>
      <c r="D63" s="557"/>
      <c r="E63" s="558"/>
      <c r="F63" s="312"/>
      <c r="G63" s="462" t="s">
        <v>100</v>
      </c>
      <c r="H63" s="557" t="s">
        <v>16</v>
      </c>
      <c r="I63" s="558">
        <f>I66*3</f>
        <v>27</v>
      </c>
      <c r="J63" s="574"/>
      <c r="K63" s="626"/>
      <c r="L63" s="626"/>
      <c r="M63" s="626"/>
      <c r="N63" s="627"/>
      <c r="O63" s="627"/>
      <c r="P63" s="627"/>
      <c r="Q63" s="627"/>
      <c r="R63" s="627"/>
      <c r="S63" s="627"/>
      <c r="T63" s="462"/>
      <c r="U63" s="462"/>
    </row>
    <row r="64" spans="1:21" x14ac:dyDescent="0.25">
      <c r="A64" s="52">
        <f>IF(COUNTBLANK(B64)=1," ",COUNTA($B$12:B64))</f>
        <v>47</v>
      </c>
      <c r="B64" s="554" t="s">
        <v>14</v>
      </c>
      <c r="C64" s="846" t="s">
        <v>700</v>
      </c>
      <c r="D64" s="557"/>
      <c r="E64" s="558"/>
      <c r="F64" s="312"/>
      <c r="G64" s="462" t="s">
        <v>99</v>
      </c>
      <c r="H64" s="557" t="s">
        <v>16</v>
      </c>
      <c r="I64" s="558">
        <f>I62</f>
        <v>27</v>
      </c>
      <c r="J64" s="574"/>
      <c r="K64" s="626"/>
      <c r="L64" s="626"/>
      <c r="M64" s="626"/>
      <c r="N64" s="627"/>
      <c r="O64" s="627"/>
      <c r="P64" s="627"/>
      <c r="Q64" s="627"/>
      <c r="R64" s="627"/>
      <c r="S64" s="627"/>
      <c r="T64" s="462"/>
      <c r="U64" s="462"/>
    </row>
    <row r="65" spans="1:21" x14ac:dyDescent="0.25">
      <c r="A65" s="52">
        <f>IF(COUNTBLANK(B65)=1," ",COUNTA($B$12:B65))</f>
        <v>48</v>
      </c>
      <c r="B65" s="554" t="s">
        <v>14</v>
      </c>
      <c r="C65" s="847"/>
      <c r="D65" s="557"/>
      <c r="E65" s="558"/>
      <c r="F65" s="312"/>
      <c r="G65" s="462" t="s">
        <v>100</v>
      </c>
      <c r="H65" s="557"/>
      <c r="I65" s="558">
        <f>I63</f>
        <v>27</v>
      </c>
      <c r="J65" s="574"/>
      <c r="K65" s="626"/>
      <c r="L65" s="626"/>
      <c r="M65" s="626"/>
      <c r="N65" s="627"/>
      <c r="O65" s="627"/>
      <c r="P65" s="627"/>
      <c r="Q65" s="627"/>
      <c r="R65" s="627"/>
      <c r="S65" s="627"/>
      <c r="T65" s="462"/>
      <c r="U65" s="462"/>
    </row>
    <row r="66" spans="1:21" ht="22.5" x14ac:dyDescent="0.25">
      <c r="A66" s="52">
        <f>IF(COUNTBLANK(B66)=1," ",COUNTA($B$12:B66))</f>
        <v>49</v>
      </c>
      <c r="B66" s="554" t="s">
        <v>14</v>
      </c>
      <c r="C66" s="556" t="s">
        <v>698</v>
      </c>
      <c r="D66" s="557"/>
      <c r="E66" s="558"/>
      <c r="F66" s="312"/>
      <c r="G66" s="462"/>
      <c r="H66" s="557" t="s">
        <v>201</v>
      </c>
      <c r="I66" s="558">
        <v>9</v>
      </c>
      <c r="J66" s="574"/>
      <c r="K66" s="626"/>
      <c r="L66" s="626"/>
      <c r="M66" s="626"/>
      <c r="N66" s="627"/>
      <c r="O66" s="627"/>
      <c r="P66" s="627"/>
      <c r="Q66" s="627"/>
      <c r="R66" s="627"/>
      <c r="S66" s="627"/>
      <c r="T66" s="462"/>
      <c r="U66" s="462"/>
    </row>
    <row r="67" spans="1:21" ht="45" x14ac:dyDescent="0.25">
      <c r="A67" s="52">
        <f>IF(COUNTBLANK(B67)=1," ",COUNTA($B$12:B67))</f>
        <v>50</v>
      </c>
      <c r="B67" s="554" t="s">
        <v>14</v>
      </c>
      <c r="C67" s="556" t="s">
        <v>702</v>
      </c>
      <c r="D67" s="557"/>
      <c r="E67" s="558"/>
      <c r="F67" s="312"/>
      <c r="G67" s="625"/>
      <c r="H67" s="557" t="s">
        <v>203</v>
      </c>
      <c r="I67" s="558">
        <v>18</v>
      </c>
      <c r="J67" s="574"/>
      <c r="K67" s="626"/>
      <c r="L67" s="626"/>
      <c r="M67" s="626"/>
      <c r="N67" s="627"/>
      <c r="O67" s="627"/>
      <c r="P67" s="627"/>
      <c r="Q67" s="627"/>
      <c r="R67" s="627"/>
      <c r="S67" s="627"/>
      <c r="T67" s="462"/>
      <c r="U67" s="462"/>
    </row>
    <row r="68" spans="1:21" ht="22.5" x14ac:dyDescent="0.25">
      <c r="A68" s="52">
        <f>IF(COUNTBLANK(B68)=1," ",COUNTA($B$12:B68))</f>
        <v>51</v>
      </c>
      <c r="B68" s="554" t="s">
        <v>14</v>
      </c>
      <c r="C68" s="556" t="s">
        <v>701</v>
      </c>
      <c r="D68" s="557"/>
      <c r="E68" s="558"/>
      <c r="F68" s="312"/>
      <c r="G68" s="625"/>
      <c r="H68" s="557" t="s">
        <v>203</v>
      </c>
      <c r="I68" s="558">
        <f>I67</f>
        <v>18</v>
      </c>
      <c r="J68" s="574"/>
      <c r="K68" s="626"/>
      <c r="L68" s="626"/>
      <c r="M68" s="626"/>
      <c r="N68" s="627"/>
      <c r="O68" s="627"/>
      <c r="P68" s="627"/>
      <c r="Q68" s="627"/>
      <c r="R68" s="627"/>
      <c r="S68" s="627"/>
      <c r="T68" s="462"/>
      <c r="U68" s="462"/>
    </row>
    <row r="69" spans="1:21" ht="22.5" x14ac:dyDescent="0.25">
      <c r="A69" s="52">
        <f>IF(COUNTBLANK(B69)=1," ",COUNTA($B$12:B69))</f>
        <v>52</v>
      </c>
      <c r="B69" s="554" t="s">
        <v>14</v>
      </c>
      <c r="C69" s="556" t="s">
        <v>697</v>
      </c>
      <c r="D69" s="557"/>
      <c r="E69" s="558"/>
      <c r="F69" s="312"/>
      <c r="G69" s="462" t="s">
        <v>99</v>
      </c>
      <c r="H69" s="557" t="s">
        <v>203</v>
      </c>
      <c r="I69" s="558">
        <f>I67-I66</f>
        <v>9</v>
      </c>
      <c r="J69" s="574"/>
      <c r="K69" s="626"/>
      <c r="L69" s="626"/>
      <c r="M69" s="626"/>
      <c r="N69" s="627"/>
      <c r="O69" s="627"/>
      <c r="P69" s="627"/>
      <c r="Q69" s="627"/>
      <c r="R69" s="627"/>
      <c r="S69" s="627"/>
      <c r="T69" s="462"/>
      <c r="U69" s="462"/>
    </row>
    <row r="70" spans="1:21" ht="22.5" x14ac:dyDescent="0.25">
      <c r="A70" s="52">
        <f>IF(COUNTBLANK(B70)=1," ",COUNTA($B$12:B70))</f>
        <v>53</v>
      </c>
      <c r="B70" s="554" t="s">
        <v>14</v>
      </c>
      <c r="C70" s="556" t="s">
        <v>697</v>
      </c>
      <c r="D70" s="557"/>
      <c r="E70" s="558"/>
      <c r="F70" s="312"/>
      <c r="G70" s="462" t="s">
        <v>100</v>
      </c>
      <c r="H70" s="557" t="s">
        <v>203</v>
      </c>
      <c r="I70" s="558">
        <f>I66</f>
        <v>9</v>
      </c>
      <c r="J70" s="574"/>
      <c r="K70" s="626"/>
      <c r="L70" s="626"/>
      <c r="M70" s="626"/>
      <c r="N70" s="627"/>
      <c r="O70" s="627"/>
      <c r="P70" s="627"/>
      <c r="Q70" s="627"/>
      <c r="R70" s="627"/>
      <c r="S70" s="627"/>
      <c r="T70" s="462"/>
      <c r="U70" s="462"/>
    </row>
    <row r="71" spans="1:21" x14ac:dyDescent="0.25">
      <c r="A71" s="52" t="str">
        <f>IF(COUNTBLANK(B71)=1," ",COUNTA($B$12:B71))</f>
        <v xml:space="preserve"> </v>
      </c>
      <c r="B71" s="9"/>
      <c r="C71" s="736" t="s">
        <v>810</v>
      </c>
      <c r="D71" s="736"/>
      <c r="E71" s="736"/>
      <c r="F71" s="736"/>
      <c r="G71" s="736"/>
      <c r="H71" s="729"/>
      <c r="I71" s="392"/>
      <c r="J71" s="291"/>
      <c r="K71" s="291"/>
      <c r="L71" s="291"/>
      <c r="M71" s="291"/>
      <c r="N71" s="291"/>
      <c r="O71" s="291"/>
      <c r="P71" s="575"/>
      <c r="Q71" s="575"/>
      <c r="R71" s="575"/>
      <c r="S71" s="575"/>
      <c r="T71" s="315"/>
      <c r="U71" s="315"/>
    </row>
    <row r="72" spans="1:21" x14ac:dyDescent="0.25">
      <c r="A72" s="52">
        <f>IF(COUNTBLANK(B72)=1," ",COUNTA($B$12:B72))</f>
        <v>54</v>
      </c>
      <c r="B72" s="9" t="s">
        <v>14</v>
      </c>
      <c r="C72" s="630" t="s">
        <v>502</v>
      </c>
      <c r="D72" s="736"/>
      <c r="E72" s="628"/>
      <c r="F72" s="381"/>
      <c r="G72" s="628">
        <v>6</v>
      </c>
      <c r="H72" s="53" t="s">
        <v>26</v>
      </c>
      <c r="I72" s="629">
        <v>2.0529999999999999</v>
      </c>
      <c r="J72" s="300"/>
      <c r="K72" s="574"/>
      <c r="L72" s="576"/>
      <c r="M72" s="574"/>
      <c r="N72" s="577"/>
      <c r="O72" s="574"/>
      <c r="P72" s="575"/>
      <c r="Q72" s="575"/>
      <c r="R72" s="575"/>
      <c r="S72" s="575"/>
      <c r="T72" s="315"/>
      <c r="U72" s="315"/>
    </row>
    <row r="73" spans="1:21" x14ac:dyDescent="0.25">
      <c r="A73" s="52">
        <f>IF(COUNTBLANK(B73)=1," ",COUNTA($B$12:B73))</f>
        <v>55</v>
      </c>
      <c r="B73" s="9" t="s">
        <v>14</v>
      </c>
      <c r="C73" s="630" t="s">
        <v>503</v>
      </c>
      <c r="D73" s="736"/>
      <c r="E73" s="628"/>
      <c r="F73" s="381"/>
      <c r="G73" s="628">
        <v>3</v>
      </c>
      <c r="H73" s="53" t="str">
        <f t="shared" ref="H73:H78" si="2">H72</f>
        <v>m³</v>
      </c>
      <c r="I73" s="629">
        <v>1.0740000000000001</v>
      </c>
      <c r="J73" s="300"/>
      <c r="K73" s="574"/>
      <c r="L73" s="576"/>
      <c r="M73" s="574"/>
      <c r="N73" s="577"/>
      <c r="O73" s="574"/>
      <c r="P73" s="575"/>
      <c r="Q73" s="575"/>
      <c r="R73" s="575"/>
      <c r="S73" s="575"/>
      <c r="T73" s="315"/>
      <c r="U73" s="315"/>
    </row>
    <row r="74" spans="1:21" x14ac:dyDescent="0.25">
      <c r="A74" s="52">
        <f>IF(COUNTBLANK(B74)=1," ",COUNTA($B$12:B74))</f>
        <v>56</v>
      </c>
      <c r="B74" s="9" t="s">
        <v>14</v>
      </c>
      <c r="C74" s="630" t="s">
        <v>504</v>
      </c>
      <c r="D74" s="736"/>
      <c r="E74" s="628"/>
      <c r="F74" s="381"/>
      <c r="G74" s="628">
        <v>6</v>
      </c>
      <c r="H74" s="53" t="str">
        <f t="shared" si="2"/>
        <v>m³</v>
      </c>
      <c r="I74" s="629">
        <v>2.63</v>
      </c>
      <c r="J74" s="300"/>
      <c r="K74" s="574"/>
      <c r="L74" s="576"/>
      <c r="M74" s="574"/>
      <c r="N74" s="577"/>
      <c r="O74" s="574"/>
      <c r="P74" s="575"/>
      <c r="Q74" s="575"/>
      <c r="R74" s="575"/>
      <c r="S74" s="575"/>
      <c r="T74" s="315"/>
      <c r="U74" s="315"/>
    </row>
    <row r="75" spans="1:21" x14ac:dyDescent="0.25">
      <c r="A75" s="52">
        <f>IF(COUNTBLANK(B75)=1," ",COUNTA($B$12:B75))</f>
        <v>57</v>
      </c>
      <c r="B75" s="9" t="s">
        <v>14</v>
      </c>
      <c r="C75" s="630" t="s">
        <v>505</v>
      </c>
      <c r="D75" s="736"/>
      <c r="E75" s="628"/>
      <c r="F75" s="381"/>
      <c r="G75" s="628">
        <v>5</v>
      </c>
      <c r="H75" s="53" t="str">
        <f t="shared" si="2"/>
        <v>m³</v>
      </c>
      <c r="I75" s="629">
        <v>1.9670000000000001</v>
      </c>
      <c r="J75" s="743"/>
      <c r="K75" s="312"/>
      <c r="L75" s="516"/>
      <c r="M75" s="312"/>
      <c r="N75" s="444"/>
      <c r="O75" s="312"/>
      <c r="P75" s="315"/>
      <c r="Q75" s="315"/>
      <c r="R75" s="315"/>
      <c r="S75" s="315"/>
      <c r="T75" s="315"/>
      <c r="U75" s="315"/>
    </row>
    <row r="76" spans="1:21" x14ac:dyDescent="0.25">
      <c r="A76" s="52">
        <f>IF(COUNTBLANK(B76)=1," ",COUNTA($B$12:B76))</f>
        <v>58</v>
      </c>
      <c r="B76" s="9" t="s">
        <v>14</v>
      </c>
      <c r="C76" s="630" t="s">
        <v>506</v>
      </c>
      <c r="D76" s="736"/>
      <c r="E76" s="628"/>
      <c r="F76" s="381"/>
      <c r="G76" s="628">
        <v>3</v>
      </c>
      <c r="H76" s="53" t="str">
        <f t="shared" si="2"/>
        <v>m³</v>
      </c>
      <c r="I76" s="629">
        <v>0.746</v>
      </c>
      <c r="J76" s="743"/>
      <c r="K76" s="312"/>
      <c r="L76" s="516"/>
      <c r="M76" s="312"/>
      <c r="N76" s="444"/>
      <c r="O76" s="312"/>
      <c r="P76" s="315"/>
      <c r="Q76" s="315"/>
      <c r="R76" s="315"/>
      <c r="S76" s="315"/>
      <c r="T76" s="315"/>
      <c r="U76" s="315"/>
    </row>
    <row r="77" spans="1:21" x14ac:dyDescent="0.25">
      <c r="A77" s="52">
        <f>IF(COUNTBLANK(B77)=1," ",COUNTA($B$12:B77))</f>
        <v>59</v>
      </c>
      <c r="B77" s="9" t="s">
        <v>14</v>
      </c>
      <c r="C77" s="630" t="s">
        <v>507</v>
      </c>
      <c r="D77" s="736"/>
      <c r="E77" s="628"/>
      <c r="F77" s="381"/>
      <c r="G77" s="628">
        <v>3</v>
      </c>
      <c r="H77" s="53" t="str">
        <f t="shared" si="2"/>
        <v>m³</v>
      </c>
      <c r="I77" s="629">
        <v>0.74299999999999999</v>
      </c>
      <c r="J77" s="743"/>
      <c r="K77" s="312"/>
      <c r="L77" s="516"/>
      <c r="M77" s="312"/>
      <c r="N77" s="444"/>
      <c r="O77" s="312"/>
      <c r="P77" s="315"/>
      <c r="Q77" s="315"/>
      <c r="R77" s="315"/>
      <c r="S77" s="315"/>
      <c r="T77" s="315"/>
      <c r="U77" s="315"/>
    </row>
    <row r="78" spans="1:21" x14ac:dyDescent="0.25">
      <c r="A78" s="52">
        <f>IF(COUNTBLANK(B78)=1," ",COUNTA($B$12:B78))</f>
        <v>60</v>
      </c>
      <c r="B78" s="9" t="s">
        <v>14</v>
      </c>
      <c r="C78" s="630" t="s">
        <v>508</v>
      </c>
      <c r="D78" s="736"/>
      <c r="E78" s="628"/>
      <c r="F78" s="381"/>
      <c r="G78" s="628">
        <v>6</v>
      </c>
      <c r="H78" s="53" t="str">
        <f t="shared" si="2"/>
        <v>m³</v>
      </c>
      <c r="I78" s="629">
        <v>2.1440000000000001</v>
      </c>
      <c r="J78" s="743"/>
      <c r="K78" s="312"/>
      <c r="L78" s="516"/>
      <c r="M78" s="312"/>
      <c r="N78" s="444"/>
      <c r="O78" s="312"/>
      <c r="P78" s="315"/>
      <c r="Q78" s="315"/>
      <c r="R78" s="315"/>
      <c r="S78" s="315"/>
      <c r="T78" s="315"/>
      <c r="U78" s="315"/>
    </row>
    <row r="79" spans="1:21" x14ac:dyDescent="0.25">
      <c r="A79" s="52" t="str">
        <f>IF(COUNTBLANK(B79)=1," ",COUNTA($B$12:B79))</f>
        <v xml:space="preserve"> </v>
      </c>
      <c r="B79" s="9"/>
      <c r="C79" s="619" t="s">
        <v>470</v>
      </c>
      <c r="D79" s="736"/>
      <c r="E79" s="736"/>
      <c r="F79" s="736"/>
      <c r="G79" s="736"/>
      <c r="H79" s="743"/>
      <c r="I79" s="392"/>
      <c r="J79" s="743"/>
      <c r="K79" s="136"/>
      <c r="L79" s="271"/>
      <c r="M79" s="136"/>
      <c r="N79" s="136"/>
      <c r="O79" s="136"/>
      <c r="P79" s="315"/>
      <c r="Q79" s="315"/>
      <c r="R79" s="315"/>
      <c r="S79" s="315"/>
      <c r="T79" s="315"/>
      <c r="U79" s="315"/>
    </row>
    <row r="80" spans="1:21" x14ac:dyDescent="0.25">
      <c r="A80" s="52">
        <f>IF(COUNTBLANK(B80)=1," ",COUNTA($B$12:B80))</f>
        <v>61</v>
      </c>
      <c r="B80" s="9" t="s">
        <v>14</v>
      </c>
      <c r="C80" s="630" t="s">
        <v>502</v>
      </c>
      <c r="D80" s="628"/>
      <c r="E80" s="736"/>
      <c r="F80" s="736"/>
      <c r="G80" s="736"/>
      <c r="H80" s="53" t="s">
        <v>17</v>
      </c>
      <c r="I80" s="629">
        <v>4.4013</v>
      </c>
      <c r="J80" s="743"/>
      <c r="K80" s="312"/>
      <c r="L80" s="516"/>
      <c r="M80" s="312"/>
      <c r="N80" s="444"/>
      <c r="O80" s="312"/>
      <c r="P80" s="315"/>
      <c r="Q80" s="315"/>
      <c r="R80" s="315"/>
      <c r="S80" s="315"/>
      <c r="T80" s="315"/>
      <c r="U80" s="315"/>
    </row>
    <row r="81" spans="1:21" x14ac:dyDescent="0.25">
      <c r="A81" s="52">
        <f>IF(COUNTBLANK(B81)=1," ",COUNTA($B$12:B81))</f>
        <v>62</v>
      </c>
      <c r="B81" s="9" t="s">
        <v>14</v>
      </c>
      <c r="C81" s="630" t="s">
        <v>503</v>
      </c>
      <c r="D81" s="628"/>
      <c r="E81" s="736"/>
      <c r="F81" s="736"/>
      <c r="G81" s="736"/>
      <c r="H81" s="53" t="str">
        <f t="shared" ref="H81:H86" si="3">H80</f>
        <v>m²</v>
      </c>
      <c r="I81" s="629">
        <v>2.222</v>
      </c>
      <c r="J81" s="743"/>
      <c r="K81" s="312"/>
      <c r="L81" s="516"/>
      <c r="M81" s="312"/>
      <c r="N81" s="444"/>
      <c r="O81" s="312"/>
      <c r="P81" s="315"/>
      <c r="Q81" s="315"/>
      <c r="R81" s="315"/>
      <c r="S81" s="315"/>
      <c r="T81" s="315"/>
      <c r="U81" s="315"/>
    </row>
    <row r="82" spans="1:21" x14ac:dyDescent="0.25">
      <c r="A82" s="52">
        <f>IF(COUNTBLANK(B82)=1," ",COUNTA($B$12:B82))</f>
        <v>63</v>
      </c>
      <c r="B82" s="9" t="s">
        <v>14</v>
      </c>
      <c r="C82" s="636" t="s">
        <v>504</v>
      </c>
      <c r="D82" s="628"/>
      <c r="E82" s="736"/>
      <c r="F82" s="736"/>
      <c r="G82" s="736"/>
      <c r="H82" s="53" t="str">
        <f t="shared" si="3"/>
        <v>m²</v>
      </c>
      <c r="I82" s="629">
        <v>4.758</v>
      </c>
      <c r="J82" s="743"/>
      <c r="K82" s="312"/>
      <c r="L82" s="516"/>
      <c r="M82" s="312"/>
      <c r="N82" s="444"/>
      <c r="O82" s="312"/>
      <c r="P82" s="315"/>
      <c r="Q82" s="315"/>
      <c r="R82" s="315"/>
      <c r="S82" s="315"/>
      <c r="T82" s="315"/>
      <c r="U82" s="315"/>
    </row>
    <row r="83" spans="1:21" x14ac:dyDescent="0.25">
      <c r="A83" s="52">
        <f>IF(COUNTBLANK(B83)=1," ",COUNTA($B$12:B83))</f>
        <v>64</v>
      </c>
      <c r="B83" s="9" t="s">
        <v>14</v>
      </c>
      <c r="C83" s="636" t="s">
        <v>505</v>
      </c>
      <c r="D83" s="628"/>
      <c r="E83" s="736"/>
      <c r="F83" s="736"/>
      <c r="G83" s="736"/>
      <c r="H83" s="53" t="str">
        <f t="shared" si="3"/>
        <v>m²</v>
      </c>
      <c r="I83" s="629">
        <v>4.2322300000000004</v>
      </c>
      <c r="J83" s="743"/>
      <c r="K83" s="312"/>
      <c r="L83" s="516"/>
      <c r="M83" s="312"/>
      <c r="N83" s="444"/>
      <c r="O83" s="312"/>
      <c r="P83" s="315"/>
      <c r="Q83" s="315"/>
      <c r="R83" s="315"/>
      <c r="S83" s="315"/>
      <c r="T83" s="315"/>
      <c r="U83" s="315"/>
    </row>
    <row r="84" spans="1:21" x14ac:dyDescent="0.25">
      <c r="A84" s="52">
        <f>IF(COUNTBLANK(B84)=1," ",COUNTA($B$12:B84))</f>
        <v>65</v>
      </c>
      <c r="B84" s="9" t="s">
        <v>14</v>
      </c>
      <c r="C84" s="636" t="s">
        <v>506</v>
      </c>
      <c r="D84" s="628"/>
      <c r="E84" s="736"/>
      <c r="F84" s="736"/>
      <c r="G84" s="736"/>
      <c r="H84" s="53" t="str">
        <f t="shared" si="3"/>
        <v>m²</v>
      </c>
      <c r="I84" s="629">
        <v>1.6926699999999999</v>
      </c>
      <c r="J84" s="743"/>
      <c r="K84" s="312"/>
      <c r="L84" s="516"/>
      <c r="M84" s="312"/>
      <c r="N84" s="444"/>
      <c r="O84" s="312"/>
      <c r="P84" s="315"/>
      <c r="Q84" s="315"/>
      <c r="R84" s="315"/>
      <c r="S84" s="315"/>
      <c r="T84" s="315"/>
      <c r="U84" s="315"/>
    </row>
    <row r="85" spans="1:21" x14ac:dyDescent="0.25">
      <c r="A85" s="52">
        <f>IF(COUNTBLANK(B85)=1," ",COUNTA($B$12:B85))</f>
        <v>66</v>
      </c>
      <c r="B85" s="9" t="s">
        <v>14</v>
      </c>
      <c r="C85" s="636" t="s">
        <v>507</v>
      </c>
      <c r="D85" s="628"/>
      <c r="E85" s="736"/>
      <c r="F85" s="736"/>
      <c r="G85" s="736"/>
      <c r="H85" s="53" t="str">
        <f t="shared" si="3"/>
        <v>m²</v>
      </c>
      <c r="I85" s="629">
        <v>1.9372999999999998</v>
      </c>
      <c r="J85" s="743"/>
      <c r="K85" s="312"/>
      <c r="L85" s="516"/>
      <c r="M85" s="312"/>
      <c r="N85" s="444"/>
      <c r="O85" s="312"/>
      <c r="P85" s="315"/>
      <c r="Q85" s="315"/>
      <c r="R85" s="315"/>
      <c r="S85" s="315"/>
      <c r="T85" s="315"/>
      <c r="U85" s="315"/>
    </row>
    <row r="86" spans="1:21" x14ac:dyDescent="0.25">
      <c r="A86" s="52">
        <f>IF(COUNTBLANK(B86)=1," ",COUNTA($B$12:B86))</f>
        <v>67</v>
      </c>
      <c r="B86" s="9" t="s">
        <v>14</v>
      </c>
      <c r="C86" s="636" t="s">
        <v>508</v>
      </c>
      <c r="D86" s="628"/>
      <c r="E86" s="736"/>
      <c r="F86" s="736"/>
      <c r="G86" s="736"/>
      <c r="H86" s="53" t="str">
        <f t="shared" si="3"/>
        <v>m²</v>
      </c>
      <c r="I86" s="629">
        <v>4.6630000000000003</v>
      </c>
      <c r="J86" s="743"/>
      <c r="K86" s="312"/>
      <c r="L86" s="516"/>
      <c r="M86" s="312"/>
      <c r="N86" s="444"/>
      <c r="O86" s="312"/>
      <c r="P86" s="315"/>
      <c r="Q86" s="315"/>
      <c r="R86" s="315"/>
      <c r="S86" s="315"/>
      <c r="T86" s="315"/>
      <c r="U86" s="315"/>
    </row>
    <row r="87" spans="1:21" x14ac:dyDescent="0.25">
      <c r="A87" s="52" t="str">
        <f>IF(COUNTBLANK(B87)=1," ",COUNTA($B$12:B87))</f>
        <v xml:space="preserve"> </v>
      </c>
      <c r="B87" s="394"/>
      <c r="C87" s="729" t="s">
        <v>477</v>
      </c>
      <c r="D87" s="394"/>
      <c r="E87" s="394"/>
      <c r="F87" s="461"/>
      <c r="G87" s="394"/>
      <c r="H87" s="394"/>
      <c r="I87" s="394"/>
      <c r="J87" s="394"/>
      <c r="K87" s="394"/>
      <c r="L87" s="394"/>
      <c r="M87" s="394"/>
      <c r="N87" s="394"/>
      <c r="O87" s="394"/>
      <c r="P87" s="315"/>
      <c r="Q87" s="315"/>
      <c r="R87" s="315"/>
      <c r="S87" s="315"/>
      <c r="T87" s="315"/>
      <c r="U87" s="315"/>
    </row>
    <row r="88" spans="1:21" x14ac:dyDescent="0.25">
      <c r="A88" s="52" t="str">
        <f>IF(COUNTBLANK(B88)=1," ",COUNTA($B$12:B88))</f>
        <v xml:space="preserve"> </v>
      </c>
      <c r="B88" s="743"/>
      <c r="C88" s="631" t="s">
        <v>478</v>
      </c>
      <c r="D88" s="742" t="s">
        <v>479</v>
      </c>
      <c r="E88" s="742" t="s">
        <v>479</v>
      </c>
      <c r="F88" s="729" t="s">
        <v>118</v>
      </c>
      <c r="G88" s="742" t="s">
        <v>490</v>
      </c>
      <c r="H88" s="394"/>
      <c r="I88" s="729"/>
      <c r="K88" s="729"/>
      <c r="L88" s="729"/>
      <c r="M88" s="742"/>
      <c r="N88" s="742"/>
      <c r="O88" s="742"/>
      <c r="P88" s="315"/>
      <c r="Q88" s="315"/>
      <c r="R88" s="315"/>
      <c r="S88" s="315"/>
      <c r="T88" s="315"/>
      <c r="U88" s="315"/>
    </row>
    <row r="89" spans="1:21" x14ac:dyDescent="0.25">
      <c r="A89" s="52">
        <f>IF(COUNTBLANK(B89)=1," ",COUNTA($B$12:B89))</f>
        <v>68</v>
      </c>
      <c r="B89" s="9" t="s">
        <v>14</v>
      </c>
      <c r="C89" s="739" t="s">
        <v>481</v>
      </c>
      <c r="D89" s="742"/>
      <c r="E89" s="742"/>
      <c r="F89" s="632">
        <v>10</v>
      </c>
      <c r="G89" s="739">
        <v>268</v>
      </c>
      <c r="H89" s="742" t="s">
        <v>491</v>
      </c>
      <c r="I89" s="742">
        <f>F89*G89/1000</f>
        <v>2.68</v>
      </c>
      <c r="K89" s="312"/>
      <c r="L89" s="516"/>
      <c r="M89" s="312"/>
      <c r="N89" s="444"/>
      <c r="O89" s="312"/>
      <c r="P89" s="315"/>
      <c r="Q89" s="315"/>
      <c r="R89" s="315"/>
      <c r="S89" s="315"/>
      <c r="T89" s="315"/>
      <c r="U89" s="315"/>
    </row>
    <row r="90" spans="1:21" x14ac:dyDescent="0.25">
      <c r="A90" s="52">
        <f>IF(COUNTBLANK(B90)=1," ",COUNTA($B$12:B90))</f>
        <v>69</v>
      </c>
      <c r="B90" s="9" t="s">
        <v>14</v>
      </c>
      <c r="C90" s="739" t="s">
        <v>482</v>
      </c>
      <c r="D90" s="742"/>
      <c r="E90" s="742"/>
      <c r="F90" s="632">
        <v>8</v>
      </c>
      <c r="G90" s="739">
        <v>114</v>
      </c>
      <c r="H90" s="742" t="s">
        <v>491</v>
      </c>
      <c r="I90" s="742">
        <f t="shared" ref="I90:I101" si="4">F90*G90/1000</f>
        <v>0.91200000000000003</v>
      </c>
      <c r="K90" s="312"/>
      <c r="L90" s="516"/>
      <c r="M90" s="312"/>
      <c r="N90" s="444"/>
      <c r="O90" s="312"/>
      <c r="P90" s="315"/>
      <c r="Q90" s="315"/>
      <c r="R90" s="315"/>
      <c r="S90" s="315"/>
      <c r="T90" s="315"/>
      <c r="U90" s="315"/>
    </row>
    <row r="91" spans="1:21" x14ac:dyDescent="0.25">
      <c r="A91" s="52">
        <f>IF(COUNTBLANK(B91)=1," ",COUNTA($B$12:B91))</f>
        <v>70</v>
      </c>
      <c r="B91" s="9" t="s">
        <v>14</v>
      </c>
      <c r="C91" s="739" t="s">
        <v>509</v>
      </c>
      <c r="D91" s="742"/>
      <c r="E91" s="742"/>
      <c r="F91" s="632">
        <v>7</v>
      </c>
      <c r="G91" s="739">
        <v>230</v>
      </c>
      <c r="H91" s="742" t="s">
        <v>491</v>
      </c>
      <c r="I91" s="742">
        <f t="shared" si="4"/>
        <v>1.61</v>
      </c>
      <c r="K91" s="312"/>
      <c r="L91" s="516"/>
      <c r="M91" s="312"/>
      <c r="N91" s="444"/>
      <c r="O91" s="312"/>
      <c r="P91" s="315"/>
      <c r="Q91" s="315"/>
      <c r="R91" s="315"/>
      <c r="S91" s="315"/>
      <c r="T91" s="315"/>
      <c r="U91" s="315"/>
    </row>
    <row r="92" spans="1:21" x14ac:dyDescent="0.25">
      <c r="A92" s="52">
        <f>IF(COUNTBLANK(B92)=1," ",COUNTA($B$12:B92))</f>
        <v>71</v>
      </c>
      <c r="B92" s="9" t="s">
        <v>14</v>
      </c>
      <c r="C92" s="739" t="s">
        <v>510</v>
      </c>
      <c r="D92" s="742"/>
      <c r="E92" s="742"/>
      <c r="F92" s="632">
        <v>1</v>
      </c>
      <c r="G92" s="739">
        <v>175</v>
      </c>
      <c r="H92" s="742" t="s">
        <v>491</v>
      </c>
      <c r="I92" s="742">
        <f t="shared" si="4"/>
        <v>0.17499999999999999</v>
      </c>
      <c r="K92" s="312"/>
      <c r="L92" s="516"/>
      <c r="M92" s="312"/>
      <c r="N92" s="444"/>
      <c r="O92" s="312"/>
      <c r="P92" s="315"/>
      <c r="Q92" s="315"/>
      <c r="R92" s="315"/>
      <c r="S92" s="315"/>
      <c r="T92" s="315"/>
      <c r="U92" s="315"/>
    </row>
    <row r="93" spans="1:21" x14ac:dyDescent="0.25">
      <c r="A93" s="52">
        <f>IF(COUNTBLANK(B93)=1," ",COUNTA($B$12:B93))</f>
        <v>72</v>
      </c>
      <c r="B93" s="9" t="s">
        <v>14</v>
      </c>
      <c r="C93" s="739" t="s">
        <v>511</v>
      </c>
      <c r="D93" s="742"/>
      <c r="E93" s="742"/>
      <c r="F93" s="632">
        <v>1</v>
      </c>
      <c r="G93" s="739">
        <v>180</v>
      </c>
      <c r="H93" s="742" t="s">
        <v>491</v>
      </c>
      <c r="I93" s="742">
        <f t="shared" si="4"/>
        <v>0.18</v>
      </c>
      <c r="K93" s="312"/>
      <c r="L93" s="516"/>
      <c r="M93" s="312"/>
      <c r="N93" s="444"/>
      <c r="O93" s="312"/>
      <c r="P93" s="315"/>
      <c r="Q93" s="315"/>
      <c r="R93" s="315"/>
      <c r="S93" s="315"/>
      <c r="T93" s="315"/>
      <c r="U93" s="315"/>
    </row>
    <row r="94" spans="1:21" x14ac:dyDescent="0.25">
      <c r="A94" s="52">
        <f>IF(COUNTBLANK(B94)=1," ",COUNTA($B$12:B94))</f>
        <v>73</v>
      </c>
      <c r="B94" s="9" t="s">
        <v>14</v>
      </c>
      <c r="C94" s="739" t="s">
        <v>512</v>
      </c>
      <c r="D94" s="742"/>
      <c r="E94" s="742"/>
      <c r="F94" s="632">
        <v>1</v>
      </c>
      <c r="G94" s="739">
        <v>155</v>
      </c>
      <c r="H94" s="742" t="s">
        <v>491</v>
      </c>
      <c r="I94" s="742">
        <f t="shared" si="4"/>
        <v>0.155</v>
      </c>
      <c r="K94" s="312"/>
      <c r="L94" s="516"/>
      <c r="M94" s="312"/>
      <c r="N94" s="444"/>
      <c r="O94" s="312"/>
      <c r="P94" s="315"/>
      <c r="Q94" s="315"/>
      <c r="R94" s="315"/>
      <c r="S94" s="315"/>
      <c r="T94" s="315"/>
      <c r="U94" s="315"/>
    </row>
    <row r="95" spans="1:21" x14ac:dyDescent="0.25">
      <c r="A95" s="52">
        <f>IF(COUNTBLANK(B95)=1," ",COUNTA($B$12:B95))</f>
        <v>74</v>
      </c>
      <c r="B95" s="9" t="s">
        <v>14</v>
      </c>
      <c r="C95" s="739" t="s">
        <v>513</v>
      </c>
      <c r="D95" s="742"/>
      <c r="E95" s="742"/>
      <c r="F95" s="632">
        <v>1</v>
      </c>
      <c r="G95" s="739">
        <v>140</v>
      </c>
      <c r="H95" s="742" t="s">
        <v>491</v>
      </c>
      <c r="I95" s="742">
        <f t="shared" si="4"/>
        <v>0.14000000000000001</v>
      </c>
      <c r="K95" s="312"/>
      <c r="L95" s="516"/>
      <c r="M95" s="312"/>
      <c r="N95" s="444"/>
      <c r="O95" s="312"/>
      <c r="P95" s="315"/>
      <c r="Q95" s="315"/>
      <c r="R95" s="315"/>
      <c r="S95" s="315"/>
      <c r="T95" s="315"/>
      <c r="U95" s="315"/>
    </row>
    <row r="96" spans="1:21" x14ac:dyDescent="0.25">
      <c r="A96" s="52" t="str">
        <f>IF(COUNTBLANK(B96)=1," ",COUNTA($B$12:B96))</f>
        <v xml:space="preserve"> </v>
      </c>
      <c r="B96" s="174"/>
      <c r="C96" s="637" t="s">
        <v>514</v>
      </c>
      <c r="D96" s="742"/>
      <c r="E96" s="742"/>
      <c r="F96" s="632"/>
      <c r="G96" s="739"/>
      <c r="H96" s="742"/>
      <c r="I96" s="742"/>
      <c r="K96" s="312"/>
      <c r="L96" s="516"/>
      <c r="M96" s="312"/>
      <c r="N96" s="444"/>
      <c r="O96" s="312"/>
      <c r="P96" s="315"/>
      <c r="Q96" s="315"/>
      <c r="R96" s="315"/>
      <c r="S96" s="315"/>
      <c r="T96" s="315"/>
      <c r="U96" s="315"/>
    </row>
    <row r="97" spans="1:21" x14ac:dyDescent="0.25">
      <c r="A97" s="52">
        <f>IF(COUNTBLANK(B97)=1," ",COUNTA($B$12:B97))</f>
        <v>75</v>
      </c>
      <c r="B97" s="9" t="s">
        <v>14</v>
      </c>
      <c r="C97" s="739" t="s">
        <v>515</v>
      </c>
      <c r="D97" s="742"/>
      <c r="E97" s="742"/>
      <c r="F97" s="632">
        <v>35</v>
      </c>
      <c r="G97" s="739">
        <v>42</v>
      </c>
      <c r="H97" s="742" t="s">
        <v>491</v>
      </c>
      <c r="I97" s="742">
        <f t="shared" si="4"/>
        <v>1.47</v>
      </c>
      <c r="K97" s="312"/>
      <c r="L97" s="516"/>
      <c r="M97" s="312"/>
      <c r="N97" s="444"/>
      <c r="O97" s="312"/>
      <c r="P97" s="315"/>
      <c r="Q97" s="315"/>
      <c r="R97" s="315"/>
      <c r="S97" s="315"/>
      <c r="T97" s="315"/>
      <c r="U97" s="315"/>
    </row>
    <row r="98" spans="1:21" x14ac:dyDescent="0.25">
      <c r="A98" s="52">
        <f>IF(COUNTBLANK(B98)=1," ",COUNTA($B$12:B98))</f>
        <v>76</v>
      </c>
      <c r="B98" s="9" t="s">
        <v>14</v>
      </c>
      <c r="C98" s="739" t="s">
        <v>516</v>
      </c>
      <c r="D98" s="742"/>
      <c r="E98" s="742"/>
      <c r="F98" s="632">
        <v>2</v>
      </c>
      <c r="G98" s="739">
        <v>12</v>
      </c>
      <c r="H98" s="742" t="s">
        <v>491</v>
      </c>
      <c r="I98" s="742">
        <f t="shared" si="4"/>
        <v>2.4E-2</v>
      </c>
      <c r="J98" s="742"/>
      <c r="K98" s="312"/>
      <c r="L98" s="516"/>
      <c r="M98" s="312"/>
      <c r="N98" s="444"/>
      <c r="O98" s="312"/>
      <c r="P98" s="315"/>
      <c r="Q98" s="315"/>
      <c r="R98" s="315"/>
      <c r="S98" s="315"/>
      <c r="T98" s="315"/>
      <c r="U98" s="315"/>
    </row>
    <row r="99" spans="1:21" x14ac:dyDescent="0.25">
      <c r="A99" s="52">
        <f>IF(COUNTBLANK(B99)=1," ",COUNTA($B$12:B99))</f>
        <v>77</v>
      </c>
      <c r="B99" s="9" t="s">
        <v>14</v>
      </c>
      <c r="C99" s="739" t="s">
        <v>517</v>
      </c>
      <c r="D99" s="742"/>
      <c r="E99" s="742"/>
      <c r="F99" s="632">
        <v>1</v>
      </c>
      <c r="G99" s="739">
        <v>3</v>
      </c>
      <c r="H99" s="742" t="s">
        <v>491</v>
      </c>
      <c r="I99" s="742">
        <f t="shared" si="4"/>
        <v>3.0000000000000001E-3</v>
      </c>
      <c r="J99" s="742"/>
      <c r="K99" s="312"/>
      <c r="L99" s="516"/>
      <c r="M99" s="312"/>
      <c r="N99" s="444"/>
      <c r="O99" s="312"/>
      <c r="P99" s="315"/>
      <c r="Q99" s="315"/>
      <c r="R99" s="315"/>
      <c r="S99" s="315"/>
      <c r="T99" s="315"/>
      <c r="U99" s="315"/>
    </row>
    <row r="100" spans="1:21" x14ac:dyDescent="0.25">
      <c r="A100" s="52">
        <f>IF(COUNTBLANK(B100)=1," ",COUNTA($B$12:B100))</f>
        <v>78</v>
      </c>
      <c r="B100" s="9" t="s">
        <v>14</v>
      </c>
      <c r="C100" s="739" t="s">
        <v>488</v>
      </c>
      <c r="D100" s="742"/>
      <c r="E100" s="742"/>
      <c r="F100" s="632">
        <v>1</v>
      </c>
      <c r="G100" s="739">
        <v>5</v>
      </c>
      <c r="H100" s="742" t="s">
        <v>491</v>
      </c>
      <c r="I100" s="742">
        <f t="shared" si="4"/>
        <v>5.0000000000000001E-3</v>
      </c>
      <c r="J100" s="742"/>
      <c r="K100" s="312"/>
      <c r="L100" s="516"/>
      <c r="M100" s="312"/>
      <c r="N100" s="444"/>
      <c r="O100" s="312"/>
      <c r="P100" s="315"/>
      <c r="Q100" s="315"/>
      <c r="R100" s="315"/>
      <c r="S100" s="315"/>
      <c r="T100" s="315"/>
      <c r="U100" s="315"/>
    </row>
    <row r="101" spans="1:21" x14ac:dyDescent="0.25">
      <c r="A101" s="52">
        <f>IF(COUNTBLANK(B101)=1," ",COUNTA($B$12:B101))</f>
        <v>79</v>
      </c>
      <c r="B101" s="9" t="s">
        <v>14</v>
      </c>
      <c r="C101" s="739" t="s">
        <v>489</v>
      </c>
      <c r="D101" s="742"/>
      <c r="E101" s="742"/>
      <c r="F101" s="632">
        <v>1</v>
      </c>
      <c r="G101" s="739">
        <v>2</v>
      </c>
      <c r="H101" s="742" t="s">
        <v>491</v>
      </c>
      <c r="I101" s="742">
        <f t="shared" si="4"/>
        <v>2E-3</v>
      </c>
      <c r="J101" s="742"/>
      <c r="K101" s="312"/>
      <c r="L101" s="516"/>
      <c r="M101" s="312"/>
      <c r="N101" s="444"/>
      <c r="O101" s="312"/>
      <c r="P101" s="315"/>
      <c r="Q101" s="315"/>
      <c r="R101" s="315"/>
      <c r="S101" s="315"/>
      <c r="T101" s="315"/>
      <c r="U101" s="315"/>
    </row>
    <row r="102" spans="1:21" x14ac:dyDescent="0.25">
      <c r="A102" s="52">
        <f>IF(COUNTBLANK(B102)=1," ",COUNTA($B$12:B102))</f>
        <v>80</v>
      </c>
      <c r="B102" s="9" t="s">
        <v>14</v>
      </c>
      <c r="C102" s="737" t="s">
        <v>518</v>
      </c>
      <c r="D102" s="742"/>
      <c r="E102" s="742"/>
      <c r="F102" s="632">
        <v>2</v>
      </c>
      <c r="G102" s="739">
        <v>3</v>
      </c>
      <c r="H102" s="742" t="s">
        <v>26</v>
      </c>
      <c r="I102" s="742">
        <v>0.35</v>
      </c>
      <c r="J102" s="742"/>
      <c r="K102" s="34"/>
      <c r="L102" s="516"/>
      <c r="M102" s="34"/>
      <c r="N102" s="55"/>
      <c r="O102" s="34"/>
      <c r="P102" s="315"/>
      <c r="Q102" s="315"/>
      <c r="R102" s="315"/>
      <c r="S102" s="315"/>
      <c r="T102" s="315"/>
      <c r="U102" s="315"/>
    </row>
    <row r="103" spans="1:21" x14ac:dyDescent="0.25">
      <c r="A103" s="52" t="str">
        <f>IF(COUNTBLANK(B103)=1," ",COUNTA($B$12:B103))</f>
        <v xml:space="preserve"> </v>
      </c>
      <c r="B103" s="742"/>
      <c r="C103" s="297" t="s">
        <v>229</v>
      </c>
      <c r="D103" s="742"/>
      <c r="E103" s="742"/>
      <c r="F103" s="632"/>
      <c r="G103" s="739"/>
      <c r="H103" s="742" t="s">
        <v>26</v>
      </c>
      <c r="I103" s="34">
        <f>I102*J103</f>
        <v>0.38500000000000001</v>
      </c>
      <c r="J103" s="34">
        <v>1.1000000000000001</v>
      </c>
      <c r="K103" s="513"/>
      <c r="L103" s="514"/>
      <c r="M103" s="513"/>
      <c r="N103" s="513"/>
      <c r="O103" s="515"/>
      <c r="P103" s="315"/>
      <c r="Q103" s="315"/>
      <c r="R103" s="315"/>
      <c r="S103" s="315"/>
      <c r="T103" s="315"/>
      <c r="U103" s="315"/>
    </row>
    <row r="104" spans="1:21" x14ac:dyDescent="0.25">
      <c r="A104" s="52" t="str">
        <f>IF(COUNTBLANK(B104)=1," ",COUNTA($B$12:B104))</f>
        <v xml:space="preserve"> </v>
      </c>
      <c r="B104" s="742"/>
      <c r="C104" s="743" t="s">
        <v>492</v>
      </c>
      <c r="D104" s="742"/>
      <c r="E104" s="101"/>
      <c r="F104" s="742"/>
      <c r="G104" s="742"/>
      <c r="H104" s="742"/>
      <c r="I104" s="742"/>
      <c r="J104" s="742"/>
      <c r="K104" s="742"/>
      <c r="L104" s="742"/>
      <c r="M104" s="742"/>
      <c r="N104" s="742"/>
      <c r="O104" s="742"/>
      <c r="P104" s="315"/>
      <c r="Q104" s="315"/>
      <c r="R104" s="315"/>
      <c r="S104" s="315"/>
      <c r="T104" s="315"/>
      <c r="U104" s="315"/>
    </row>
    <row r="105" spans="1:21" x14ac:dyDescent="0.25">
      <c r="A105" s="52" t="str">
        <f>IF(COUNTBLANK(B105)=1," ",COUNTA($B$12:B105))</f>
        <v xml:space="preserve"> </v>
      </c>
      <c r="B105" s="742"/>
      <c r="C105" s="128" t="s">
        <v>520</v>
      </c>
      <c r="D105" s="742" t="s">
        <v>479</v>
      </c>
      <c r="E105" s="742" t="s">
        <v>479</v>
      </c>
      <c r="F105" s="742" t="s">
        <v>494</v>
      </c>
      <c r="G105" s="742" t="s">
        <v>118</v>
      </c>
      <c r="H105" s="742"/>
      <c r="I105" s="742"/>
      <c r="J105" s="742"/>
      <c r="K105" s="742"/>
      <c r="L105" s="742"/>
      <c r="M105" s="742"/>
      <c r="N105" s="742"/>
      <c r="O105" s="742"/>
      <c r="P105" s="315"/>
      <c r="Q105" s="315"/>
      <c r="R105" s="315"/>
      <c r="S105" s="315"/>
      <c r="T105" s="315"/>
      <c r="U105" s="315"/>
    </row>
    <row r="106" spans="1:21" ht="22.5" x14ac:dyDescent="0.25">
      <c r="A106" s="52">
        <f>IF(COUNTBLANK(B106)=1," ",COUNTA($B$12:B106))</f>
        <v>81</v>
      </c>
      <c r="B106" s="9" t="s">
        <v>14</v>
      </c>
      <c r="C106" s="57" t="s">
        <v>495</v>
      </c>
      <c r="D106" s="742"/>
      <c r="E106" s="742"/>
      <c r="F106" s="742">
        <v>0.17</v>
      </c>
      <c r="G106" s="742">
        <v>8</v>
      </c>
      <c r="H106" s="742" t="s">
        <v>26</v>
      </c>
      <c r="I106" s="742">
        <f>G106*F106</f>
        <v>1.36</v>
      </c>
      <c r="J106" s="742"/>
      <c r="K106" s="34"/>
      <c r="L106" s="516"/>
      <c r="M106" s="34"/>
      <c r="N106" s="55"/>
      <c r="O106" s="34"/>
      <c r="P106" s="315"/>
      <c r="Q106" s="315"/>
      <c r="R106" s="315"/>
      <c r="S106" s="315"/>
      <c r="T106" s="315"/>
      <c r="U106" s="315"/>
    </row>
    <row r="107" spans="1:21" x14ac:dyDescent="0.25">
      <c r="A107" s="52" t="str">
        <f>IF(COUNTBLANK(B107)=1," ",COUNTA($B$12:B107))</f>
        <v xml:space="preserve"> </v>
      </c>
      <c r="B107" s="742"/>
      <c r="C107" s="297" t="s">
        <v>229</v>
      </c>
      <c r="D107" s="742"/>
      <c r="E107" s="742"/>
      <c r="F107" s="742"/>
      <c r="G107" s="742"/>
      <c r="H107" s="742" t="s">
        <v>26</v>
      </c>
      <c r="I107" s="34">
        <f>I106*J107</f>
        <v>1.4960000000000002</v>
      </c>
      <c r="J107" s="34">
        <v>1.1000000000000001</v>
      </c>
      <c r="K107" s="513"/>
      <c r="L107" s="514"/>
      <c r="M107" s="513"/>
      <c r="N107" s="513"/>
      <c r="O107" s="515"/>
      <c r="P107" s="315"/>
      <c r="Q107" s="315"/>
      <c r="R107" s="315"/>
      <c r="S107" s="315"/>
      <c r="T107" s="315"/>
      <c r="U107" s="315"/>
    </row>
    <row r="108" spans="1:21" x14ac:dyDescent="0.25">
      <c r="A108" s="52" t="str">
        <f>IF(COUNTBLANK(B108)=1," ",COUNTA($B$12:B108))</f>
        <v xml:space="preserve"> </v>
      </c>
      <c r="B108" s="742"/>
      <c r="C108" s="743" t="s">
        <v>496</v>
      </c>
      <c r="D108" s="743"/>
      <c r="E108" s="743"/>
      <c r="F108" s="462">
        <v>4.17</v>
      </c>
      <c r="G108" s="743">
        <f>G106</f>
        <v>8</v>
      </c>
      <c r="H108" s="742" t="s">
        <v>23</v>
      </c>
      <c r="I108" s="742">
        <f>G108*F108</f>
        <v>33.36</v>
      </c>
      <c r="J108" s="742"/>
      <c r="K108" s="742"/>
      <c r="L108" s="742"/>
      <c r="M108" s="742"/>
      <c r="N108" s="742"/>
      <c r="O108" s="742"/>
      <c r="P108" s="315"/>
      <c r="Q108" s="315"/>
      <c r="R108" s="315"/>
      <c r="S108" s="315"/>
      <c r="T108" s="315"/>
      <c r="U108" s="315"/>
    </row>
    <row r="109" spans="1:21" x14ac:dyDescent="0.25">
      <c r="A109" s="52" t="str">
        <f>IF(COUNTBLANK(B109)=1," ",COUNTA($B$12:B109))</f>
        <v xml:space="preserve"> </v>
      </c>
      <c r="B109" s="742"/>
      <c r="C109" s="743" t="s">
        <v>497</v>
      </c>
      <c r="D109" s="743"/>
      <c r="E109" s="743"/>
      <c r="F109" s="462">
        <v>9.6999999999999993</v>
      </c>
      <c r="G109" s="743">
        <f>G108</f>
        <v>8</v>
      </c>
      <c r="H109" s="742" t="s">
        <v>23</v>
      </c>
      <c r="I109" s="742">
        <f>G109*F109</f>
        <v>77.599999999999994</v>
      </c>
      <c r="J109" s="742"/>
      <c r="K109" s="742"/>
      <c r="L109" s="742"/>
      <c r="M109" s="742"/>
      <c r="N109" s="742"/>
      <c r="O109" s="742"/>
      <c r="P109" s="315"/>
      <c r="Q109" s="315"/>
      <c r="R109" s="315"/>
      <c r="S109" s="315"/>
      <c r="T109" s="315"/>
      <c r="U109" s="315"/>
    </row>
    <row r="110" spans="1:21" x14ac:dyDescent="0.25">
      <c r="A110" s="723"/>
      <c r="B110" s="723"/>
      <c r="C110" s="19"/>
      <c r="D110" s="19"/>
      <c r="E110" s="19"/>
      <c r="F110" s="19"/>
      <c r="G110" s="19"/>
      <c r="H110" s="723"/>
      <c r="I110" s="383"/>
      <c r="J110" s="723"/>
      <c r="K110" s="723"/>
      <c r="L110" s="723"/>
      <c r="M110" s="723"/>
      <c r="N110" s="723"/>
      <c r="O110" s="723"/>
      <c r="P110" s="723"/>
      <c r="Q110" s="723"/>
      <c r="R110" s="723"/>
      <c r="S110" s="723"/>
      <c r="T110" s="723"/>
      <c r="U110" s="723"/>
    </row>
    <row r="111" spans="1:21" x14ac:dyDescent="0.25">
      <c r="A111" s="413" t="str">
        <f>IF(COUNTBLANK(I111)=1," ",COUNTA($I111:I$137))</f>
        <v xml:space="preserve"> </v>
      </c>
      <c r="B111" s="37"/>
      <c r="C111" s="217" t="s">
        <v>179</v>
      </c>
      <c r="D111" s="23"/>
      <c r="E111" s="162"/>
      <c r="F111" s="162"/>
      <c r="G111" s="17"/>
      <c r="H111" s="162"/>
      <c r="I111" s="17"/>
      <c r="J111" s="17"/>
      <c r="K111" s="17"/>
      <c r="L111" s="17"/>
      <c r="Q111" s="20">
        <f>SUM(Q12:Q110)</f>
        <v>0</v>
      </c>
      <c r="R111" s="20">
        <f>SUM(R12:R110)</f>
        <v>0</v>
      </c>
      <c r="S111" s="20">
        <f>SUM(S12:S110)</f>
        <v>0</v>
      </c>
      <c r="T111" s="20">
        <f>SUM(T12:T110)</f>
        <v>0</v>
      </c>
      <c r="U111" s="20">
        <f>SUM(U12:U110)</f>
        <v>0</v>
      </c>
    </row>
    <row r="112" spans="1:21" x14ac:dyDescent="0.25">
      <c r="A112" s="413" t="str">
        <f>IF(COUNTBLANK(I112)=1," ",COUNTA($I112:I$137))</f>
        <v xml:space="preserve"> </v>
      </c>
      <c r="B112" s="39"/>
      <c r="C112" s="39"/>
      <c r="D112" s="94"/>
      <c r="E112" s="94"/>
      <c r="F112" s="94"/>
      <c r="G112" s="45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</row>
    <row r="113" spans="1:21" x14ac:dyDescent="0.25">
      <c r="A113" s="413" t="str">
        <f>IF(COUNTBLANK(I113)=1," ",COUNTA($I113:I$137))</f>
        <v xml:space="preserve"> </v>
      </c>
      <c r="B113" s="140" t="str">
        <f>sas</f>
        <v>Sastādīja:</v>
      </c>
      <c r="C113" s="140"/>
      <c r="D113" s="140"/>
      <c r="E113" s="140"/>
      <c r="F113" s="94"/>
      <c r="G113" s="45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</row>
    <row r="114" spans="1:21" x14ac:dyDescent="0.25">
      <c r="A114" s="413" t="str">
        <f>IF(COUNTBLANK(I114)=1," ",COUNTA($I114:I$137))</f>
        <v xml:space="preserve"> </v>
      </c>
      <c r="B114" s="140"/>
      <c r="C114" s="358" t="s">
        <v>145</v>
      </c>
      <c r="D114" s="140"/>
      <c r="E114" s="140"/>
      <c r="F114" s="94"/>
      <c r="G114" s="45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</row>
    <row r="115" spans="1:21" x14ac:dyDescent="0.25">
      <c r="A115" s="413" t="str">
        <f>IF(COUNTBLANK(I115)=1," ",COUNTA($I115:I$137))</f>
        <v xml:space="preserve"> </v>
      </c>
      <c r="B115" s="161"/>
      <c r="C115" s="161"/>
      <c r="D115" s="140"/>
      <c r="E115" s="140"/>
      <c r="F115" s="94"/>
      <c r="G115" s="45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</row>
    <row r="116" spans="1:21" x14ac:dyDescent="0.25">
      <c r="A116" s="413" t="str">
        <f>IF(COUNTBLANK(I116)=1," ",COUNTA($I116:I$137))</f>
        <v xml:space="preserve"> </v>
      </c>
      <c r="B116" s="140" t="str">
        <f>dat</f>
        <v>Tāme sastādīta 201__. gada __.____________</v>
      </c>
      <c r="C116" s="140"/>
      <c r="D116" s="140"/>
      <c r="E116" s="140"/>
      <c r="F116" s="94"/>
      <c r="G116" s="45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</row>
    <row r="117" spans="1:21" x14ac:dyDescent="0.25">
      <c r="A117" s="413" t="str">
        <f>IF(COUNTBLANK(I117)=1," ",COUNTA($I117:I$137))</f>
        <v xml:space="preserve"> </v>
      </c>
      <c r="B117" s="161"/>
      <c r="C117" s="161"/>
      <c r="D117" s="100"/>
      <c r="E117" s="100"/>
      <c r="F117" s="45"/>
      <c r="G117" s="45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</row>
    <row r="118" spans="1:21" x14ac:dyDescent="0.25">
      <c r="A118" s="413" t="str">
        <f>IF(COUNTBLANK(I118)=1," ",COUNTA($I118:I$137))</f>
        <v xml:space="preserve"> </v>
      </c>
      <c r="B118" s="140" t="s">
        <v>147</v>
      </c>
      <c r="C118" s="140"/>
      <c r="D118" s="100"/>
      <c r="E118" s="100"/>
      <c r="F118" s="45"/>
      <c r="G118" s="45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</row>
    <row r="119" spans="1:21" x14ac:dyDescent="0.25">
      <c r="A119" s="413" t="str">
        <f>IF(COUNTBLANK(I119)=1," ",COUNTA($I119:I$137))</f>
        <v xml:space="preserve"> </v>
      </c>
      <c r="B119" s="140"/>
      <c r="C119" s="358" t="s">
        <v>145</v>
      </c>
      <c r="D119" s="100"/>
      <c r="E119" s="100"/>
      <c r="F119" s="45"/>
      <c r="G119" s="45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</row>
    <row r="120" spans="1:21" x14ac:dyDescent="0.25">
      <c r="A120" s="413" t="str">
        <f>IF(COUNTBLANK(I120)=1," ",COUNTA($I120:I$137))</f>
        <v xml:space="preserve"> </v>
      </c>
      <c r="B120" s="161"/>
      <c r="C120" s="140" t="s">
        <v>148</v>
      </c>
      <c r="D120" s="100"/>
      <c r="E120" s="100"/>
      <c r="F120" s="100"/>
      <c r="G120" s="45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</row>
    <row r="121" spans="1:21" x14ac:dyDescent="0.25">
      <c r="A121" s="723"/>
      <c r="B121" s="723"/>
      <c r="C121" s="19"/>
      <c r="D121" s="19"/>
      <c r="E121" s="19"/>
      <c r="F121" s="19"/>
      <c r="G121" s="19"/>
      <c r="H121" s="723"/>
      <c r="I121" s="383"/>
      <c r="J121" s="723"/>
      <c r="K121" s="723"/>
      <c r="L121" s="723"/>
      <c r="M121" s="723"/>
      <c r="N121" s="723"/>
      <c r="O121" s="723"/>
      <c r="P121" s="723"/>
      <c r="Q121" s="723"/>
      <c r="R121" s="723"/>
      <c r="S121" s="723"/>
      <c r="T121" s="723"/>
      <c r="U121" s="723"/>
    </row>
    <row r="122" spans="1:21" x14ac:dyDescent="0.25">
      <c r="A122" s="723"/>
      <c r="B122" s="723"/>
      <c r="C122" s="19"/>
      <c r="D122" s="19"/>
      <c r="E122" s="19"/>
      <c r="F122" s="19"/>
      <c r="G122" s="19"/>
      <c r="H122" s="723"/>
      <c r="I122" s="383"/>
      <c r="J122" s="723"/>
      <c r="K122" s="723"/>
      <c r="L122" s="723"/>
      <c r="M122" s="723"/>
      <c r="N122" s="723"/>
      <c r="O122" s="723"/>
      <c r="P122" s="723"/>
      <c r="Q122" s="723"/>
      <c r="R122" s="723"/>
      <c r="S122" s="723"/>
      <c r="T122" s="723"/>
      <c r="U122" s="723"/>
    </row>
    <row r="123" spans="1:21" x14ac:dyDescent="0.25">
      <c r="A123" s="723"/>
      <c r="B123" s="723"/>
      <c r="C123" s="19"/>
      <c r="D123" s="19"/>
      <c r="E123" s="19"/>
      <c r="F123" s="19"/>
      <c r="G123" s="19"/>
      <c r="H123" s="723"/>
      <c r="I123" s="383"/>
      <c r="J123" s="723"/>
      <c r="K123" s="723"/>
      <c r="L123" s="723"/>
      <c r="M123" s="723"/>
      <c r="N123" s="723"/>
      <c r="O123" s="723"/>
      <c r="P123" s="723"/>
      <c r="Q123" s="723"/>
      <c r="R123" s="723"/>
      <c r="S123" s="723"/>
      <c r="T123" s="723"/>
      <c r="U123" s="723"/>
    </row>
    <row r="124" spans="1:21" x14ac:dyDescent="0.25">
      <c r="A124" s="723"/>
      <c r="B124" s="723"/>
      <c r="C124" s="19"/>
      <c r="D124" s="19"/>
      <c r="E124" s="19"/>
      <c r="F124" s="19"/>
      <c r="G124" s="19"/>
      <c r="H124" s="723"/>
      <c r="I124" s="383"/>
      <c r="J124" s="723"/>
      <c r="K124" s="723"/>
      <c r="L124" s="723"/>
      <c r="M124" s="723"/>
      <c r="N124" s="723"/>
      <c r="O124" s="723"/>
      <c r="P124" s="723"/>
      <c r="Q124" s="723"/>
      <c r="R124" s="723"/>
      <c r="S124" s="723"/>
      <c r="T124" s="723"/>
      <c r="U124" s="723"/>
    </row>
    <row r="125" spans="1:21" x14ac:dyDescent="0.25">
      <c r="A125" s="723"/>
      <c r="B125" s="723"/>
      <c r="C125" s="19"/>
      <c r="D125" s="19"/>
      <c r="E125" s="19"/>
      <c r="F125" s="19"/>
      <c r="G125" s="19"/>
      <c r="H125" s="723"/>
      <c r="I125" s="383"/>
      <c r="J125" s="723"/>
      <c r="K125" s="723"/>
      <c r="L125" s="723"/>
      <c r="M125" s="723"/>
      <c r="N125" s="723"/>
      <c r="O125" s="723"/>
      <c r="P125" s="723"/>
      <c r="Q125" s="723"/>
      <c r="R125" s="723"/>
      <c r="S125" s="723"/>
      <c r="T125" s="723"/>
      <c r="U125" s="723"/>
    </row>
    <row r="126" spans="1:21" x14ac:dyDescent="0.25">
      <c r="A126" s="723"/>
      <c r="B126" s="723"/>
      <c r="C126" s="19"/>
      <c r="D126" s="19"/>
      <c r="E126" s="19"/>
      <c r="F126" s="19"/>
      <c r="G126" s="19"/>
      <c r="H126" s="723"/>
      <c r="I126" s="383"/>
      <c r="J126" s="723"/>
      <c r="K126" s="723"/>
      <c r="L126" s="723"/>
      <c r="M126" s="723"/>
      <c r="N126" s="723"/>
      <c r="O126" s="723"/>
      <c r="P126" s="723"/>
      <c r="Q126" s="723"/>
      <c r="R126" s="723"/>
      <c r="S126" s="723"/>
      <c r="T126" s="723"/>
      <c r="U126" s="723"/>
    </row>
    <row r="127" spans="1:21" x14ac:dyDescent="0.25">
      <c r="A127" s="723"/>
      <c r="B127" s="723"/>
      <c r="C127" s="19"/>
      <c r="D127" s="19"/>
      <c r="E127" s="19"/>
      <c r="F127" s="19"/>
      <c r="G127" s="19"/>
      <c r="H127" s="723"/>
      <c r="I127" s="383"/>
      <c r="J127" s="723"/>
      <c r="K127" s="723"/>
      <c r="L127" s="723"/>
      <c r="M127" s="723"/>
      <c r="N127" s="723"/>
      <c r="O127" s="723"/>
      <c r="P127" s="723"/>
      <c r="Q127" s="723"/>
      <c r="R127" s="723"/>
      <c r="S127" s="723"/>
      <c r="T127" s="723"/>
      <c r="U127" s="723"/>
    </row>
    <row r="128" spans="1:21" x14ac:dyDescent="0.25">
      <c r="A128" s="723"/>
      <c r="B128" s="723"/>
      <c r="C128" s="19"/>
      <c r="D128" s="19"/>
      <c r="E128" s="19"/>
      <c r="F128" s="19"/>
      <c r="G128" s="19"/>
      <c r="H128" s="723"/>
      <c r="I128" s="383"/>
      <c r="J128" s="723"/>
      <c r="K128" s="723"/>
      <c r="L128" s="723"/>
      <c r="M128" s="723"/>
      <c r="N128" s="723"/>
      <c r="O128" s="723"/>
      <c r="P128" s="723"/>
      <c r="Q128" s="723"/>
      <c r="R128" s="723"/>
      <c r="S128" s="723"/>
      <c r="T128" s="723"/>
      <c r="U128" s="723"/>
    </row>
    <row r="129" spans="1:21" x14ac:dyDescent="0.25">
      <c r="A129" s="740"/>
      <c r="B129" s="94"/>
      <c r="C129" s="151"/>
      <c r="D129" s="151"/>
      <c r="E129" s="151"/>
      <c r="F129" s="151"/>
      <c r="G129" s="151"/>
      <c r="H129" s="94"/>
      <c r="I129" s="383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</row>
    <row r="130" spans="1:21" x14ac:dyDescent="0.25">
      <c r="A130" s="740"/>
      <c r="B130" s="94"/>
      <c r="C130" s="151"/>
      <c r="D130" s="151"/>
      <c r="E130" s="151"/>
      <c r="F130" s="151"/>
      <c r="G130" s="151"/>
      <c r="H130" s="94"/>
      <c r="I130" s="383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</row>
    <row r="131" spans="1:21" x14ac:dyDescent="0.25">
      <c r="A131" s="740"/>
      <c r="B131" s="94"/>
      <c r="C131" s="151"/>
      <c r="D131" s="151"/>
      <c r="E131" s="151"/>
      <c r="F131" s="151"/>
      <c r="G131" s="151"/>
      <c r="H131" s="94"/>
      <c r="I131" s="383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</row>
  </sheetData>
  <autoFilter ref="A13:U109" xr:uid="{00000000-0009-0000-0000-00000E000000}"/>
  <mergeCells count="14">
    <mergeCell ref="C62:C63"/>
    <mergeCell ref="C64:C65"/>
    <mergeCell ref="C47:C48"/>
    <mergeCell ref="Q9:U9"/>
    <mergeCell ref="D12:F12"/>
    <mergeCell ref="C9:G10"/>
    <mergeCell ref="C11:G11"/>
    <mergeCell ref="G12:G13"/>
    <mergeCell ref="A1:K1"/>
    <mergeCell ref="A9:A10"/>
    <mergeCell ref="B9:B10"/>
    <mergeCell ref="H9:H10"/>
    <mergeCell ref="I9:I10"/>
    <mergeCell ref="K9:P9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  <rowBreaks count="1" manualBreakCount="1">
    <brk id="46" max="20" man="1"/>
  </rowBreaks>
  <ignoredErrors>
    <ignoredError sqref="I55 I10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HZ111"/>
  <sheetViews>
    <sheetView view="pageBreakPreview" topLeftCell="A70" zoomScale="85" zoomScaleNormal="85" zoomScaleSheetLayoutView="85" workbookViewId="0">
      <selection activeCell="C84" sqref="C84"/>
    </sheetView>
  </sheetViews>
  <sheetFormatPr defaultColWidth="8.85546875" defaultRowHeight="11.25" x14ac:dyDescent="0.25"/>
  <cols>
    <col min="1" max="1" width="4.140625" style="738" customWidth="1"/>
    <col min="2" max="2" width="4.140625" style="45" customWidth="1"/>
    <col min="3" max="3" width="47.28515625" style="50" customWidth="1"/>
    <col min="4" max="4" width="5.85546875" style="45" customWidth="1"/>
    <col min="5" max="5" width="7.140625" style="48" customWidth="1"/>
    <col min="6" max="6" width="4" style="45" customWidth="1"/>
    <col min="7" max="7" width="6" style="45" customWidth="1"/>
    <col min="8" max="8" width="7" style="45" customWidth="1"/>
    <col min="9" max="9" width="5.42578125" style="45" customWidth="1"/>
    <col min="10" max="10" width="7" style="45" customWidth="1"/>
    <col min="11" max="11" width="5.42578125" style="45" customWidth="1"/>
    <col min="12" max="12" width="6" style="45" customWidth="1"/>
    <col min="13" max="13" width="7.7109375" style="45" customWidth="1"/>
    <col min="14" max="14" width="8" style="45" customWidth="1"/>
    <col min="15" max="15" width="8.5703125" style="45" customWidth="1"/>
    <col min="16" max="16" width="7.140625" style="45" customWidth="1"/>
    <col min="17" max="17" width="8" style="45" customWidth="1"/>
    <col min="18" max="16384" width="8.85546875" style="45"/>
  </cols>
  <sheetData>
    <row r="1" spans="1:17" s="31" customFormat="1" x14ac:dyDescent="0.25">
      <c r="A1" s="845" t="s">
        <v>6</v>
      </c>
      <c r="B1" s="845"/>
      <c r="C1" s="845"/>
      <c r="D1" s="845"/>
      <c r="E1" s="845"/>
      <c r="F1" s="845"/>
      <c r="G1" s="838"/>
      <c r="H1" s="92">
        <f>KPDV!B25</f>
        <v>13</v>
      </c>
      <c r="I1" s="30"/>
      <c r="J1" s="30"/>
      <c r="K1" s="30"/>
      <c r="L1" s="30"/>
      <c r="M1" s="30"/>
    </row>
    <row r="2" spans="1:17" s="31" customFormat="1" x14ac:dyDescent="0.25">
      <c r="A2" s="411"/>
      <c r="B2" s="741"/>
      <c r="C2" s="49" t="s">
        <v>457</v>
      </c>
      <c r="D2" s="741"/>
      <c r="E2" s="741"/>
      <c r="F2" s="741"/>
      <c r="G2" s="741"/>
      <c r="H2" s="92"/>
      <c r="I2" s="30"/>
      <c r="J2" s="30"/>
      <c r="K2" s="30"/>
      <c r="L2" s="30"/>
      <c r="M2" s="30"/>
    </row>
    <row r="3" spans="1:17" x14ac:dyDescent="0.25">
      <c r="A3" s="190" t="str">
        <f>nos</f>
        <v>Būves nosaukums:  Dzīvojamās māja</v>
      </c>
      <c r="B3" s="46"/>
      <c r="C3" s="44"/>
      <c r="D3" s="46"/>
      <c r="E3" s="4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x14ac:dyDescent="0.25">
      <c r="A4" s="168" t="str">
        <f>obj</f>
        <v>Objekta nosaukums: Dzīvojamās ēkas fasādes vienkāršota atjaunošana</v>
      </c>
      <c r="B4" s="46"/>
      <c r="C4" s="44"/>
      <c r="D4" s="46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x14ac:dyDescent="0.25">
      <c r="A5" s="168" t="str">
        <f>adres</f>
        <v>Objekta adrese: Aisteres iela 7, Liepājā</v>
      </c>
      <c r="B5" s="46"/>
      <c r="C5" s="44"/>
      <c r="D5" s="46"/>
      <c r="E5" s="47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2" thickBot="1" x14ac:dyDescent="0.3">
      <c r="A6" s="168" t="str">
        <f>nr</f>
        <v>Pasūtījuma Nr.WS-41-17</v>
      </c>
      <c r="B6" s="46"/>
      <c r="C6" s="44"/>
      <c r="D6" s="46"/>
      <c r="E6" s="47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2" thickBot="1" x14ac:dyDescent="0.3">
      <c r="A7" s="190"/>
      <c r="B7" s="7"/>
      <c r="C7" s="322" t="s">
        <v>695</v>
      </c>
      <c r="D7" s="162"/>
      <c r="E7" s="171" t="s">
        <v>721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Q102</f>
        <v>0</v>
      </c>
    </row>
    <row r="8" spans="1:17" x14ac:dyDescent="0.25">
      <c r="A8" s="182"/>
      <c r="B8" s="187"/>
      <c r="C8" s="311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46"/>
    </row>
    <row r="9" spans="1:17" s="738" customFormat="1" x14ac:dyDescent="0.25">
      <c r="A9" s="830" t="s">
        <v>7</v>
      </c>
      <c r="B9" s="831" t="s">
        <v>8</v>
      </c>
      <c r="C9" s="832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54" t="s">
        <v>134</v>
      </c>
      <c r="N9" s="829"/>
      <c r="O9" s="829"/>
      <c r="P9" s="829"/>
      <c r="Q9" s="829"/>
    </row>
    <row r="10" spans="1:17" s="738" customFormat="1" ht="69" x14ac:dyDescent="0.25">
      <c r="A10" s="830"/>
      <c r="B10" s="831"/>
      <c r="C10" s="832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317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738" customFormat="1" x14ac:dyDescent="0.25">
      <c r="A11" s="412">
        <v>1</v>
      </c>
      <c r="B11" s="243">
        <f>A11+1</f>
        <v>2</v>
      </c>
      <c r="C11" s="16">
        <f>B11+1</f>
        <v>3</v>
      </c>
      <c r="D11" s="243">
        <f>C11+1</f>
        <v>4</v>
      </c>
      <c r="E11" s="244">
        <f>D11+1</f>
        <v>5</v>
      </c>
      <c r="F11" s="145"/>
      <c r="G11" s="243">
        <f>E11+1</f>
        <v>6</v>
      </c>
      <c r="H11" s="243">
        <f t="shared" ref="H11:Q11" si="0">G11+1</f>
        <v>7</v>
      </c>
      <c r="I11" s="243">
        <f t="shared" si="0"/>
        <v>8</v>
      </c>
      <c r="J11" s="243">
        <f t="shared" si="0"/>
        <v>9</v>
      </c>
      <c r="K11" s="243">
        <f t="shared" si="0"/>
        <v>10</v>
      </c>
      <c r="L11" s="243">
        <f t="shared" si="0"/>
        <v>11</v>
      </c>
      <c r="M11" s="318">
        <f t="shared" si="0"/>
        <v>12</v>
      </c>
      <c r="N11" s="243">
        <f t="shared" si="0"/>
        <v>13</v>
      </c>
      <c r="O11" s="243">
        <f t="shared" si="0"/>
        <v>14</v>
      </c>
      <c r="P11" s="243">
        <f t="shared" si="0"/>
        <v>15</v>
      </c>
      <c r="Q11" s="243">
        <f t="shared" si="0"/>
        <v>16</v>
      </c>
    </row>
    <row r="12" spans="1:17" ht="22.5" x14ac:dyDescent="0.25">
      <c r="B12" s="664"/>
      <c r="C12" s="692" t="s">
        <v>823</v>
      </c>
      <c r="D12" s="664"/>
      <c r="E12" s="665"/>
      <c r="F12" s="57"/>
      <c r="G12" s="57"/>
      <c r="H12" s="57"/>
      <c r="I12" s="57"/>
      <c r="J12" s="57"/>
      <c r="K12" s="57"/>
      <c r="L12" s="57"/>
      <c r="M12" s="319"/>
      <c r="N12" s="57"/>
      <c r="O12" s="57"/>
      <c r="P12" s="57"/>
      <c r="Q12" s="341"/>
    </row>
    <row r="13" spans="1:17" ht="22.5" x14ac:dyDescent="0.25">
      <c r="A13" s="52">
        <f>IF(COUNTBLANK(B13)=1," ",COUNTA($B$12:B13))</f>
        <v>1</v>
      </c>
      <c r="B13" s="9" t="s">
        <v>14</v>
      </c>
      <c r="C13" s="721" t="s">
        <v>824</v>
      </c>
      <c r="D13" s="53" t="s">
        <v>303</v>
      </c>
      <c r="E13" s="53">
        <f>0.31*18</f>
        <v>5.58</v>
      </c>
      <c r="F13" s="57"/>
      <c r="G13" s="437"/>
      <c r="H13" s="437"/>
      <c r="I13" s="438"/>
      <c r="J13" s="439"/>
      <c r="K13" s="438"/>
      <c r="L13" s="315"/>
      <c r="M13" s="315"/>
      <c r="N13" s="315"/>
      <c r="O13" s="315"/>
      <c r="P13" s="315"/>
      <c r="Q13" s="315"/>
    </row>
    <row r="14" spans="1:17" ht="22.5" x14ac:dyDescent="0.25">
      <c r="A14" s="52">
        <f>IF(COUNTBLANK(B14)=1," ",COUNTA($B$12:B14))</f>
        <v>2</v>
      </c>
      <c r="B14" s="9" t="s">
        <v>14</v>
      </c>
      <c r="C14" s="721" t="s">
        <v>825</v>
      </c>
      <c r="D14" s="53" t="s">
        <v>303</v>
      </c>
      <c r="E14" s="53">
        <f>20*3</f>
        <v>60</v>
      </c>
      <c r="F14" s="57"/>
      <c r="G14" s="437"/>
      <c r="H14" s="446"/>
      <c r="I14" s="438"/>
      <c r="J14" s="439"/>
      <c r="K14" s="438"/>
      <c r="L14" s="315"/>
      <c r="M14" s="315"/>
      <c r="N14" s="315"/>
      <c r="O14" s="315"/>
      <c r="P14" s="315"/>
      <c r="Q14" s="315"/>
    </row>
    <row r="15" spans="1:17" s="49" customFormat="1" ht="22.5" x14ac:dyDescent="0.25">
      <c r="A15" s="52">
        <f>IF(COUNTBLANK(B15)=1," ",COUNTA($B$12:B15))</f>
        <v>3</v>
      </c>
      <c r="B15" s="9" t="s">
        <v>14</v>
      </c>
      <c r="C15" s="721" t="s">
        <v>826</v>
      </c>
      <c r="D15" s="53" t="s">
        <v>303</v>
      </c>
      <c r="E15" s="53">
        <f>4*4.58</f>
        <v>18.32</v>
      </c>
      <c r="F15" s="57"/>
      <c r="G15" s="437"/>
      <c r="H15" s="446"/>
      <c r="I15" s="438"/>
      <c r="J15" s="439"/>
      <c r="K15" s="438"/>
      <c r="L15" s="315"/>
      <c r="M15" s="315"/>
      <c r="N15" s="315"/>
      <c r="O15" s="315"/>
      <c r="P15" s="315"/>
      <c r="Q15" s="315"/>
    </row>
    <row r="16" spans="1:17" ht="22.5" x14ac:dyDescent="0.25">
      <c r="A16" s="52">
        <f>IF(COUNTBLANK(B16)=1," ",COUNTA($B$12:B16))</f>
        <v>4</v>
      </c>
      <c r="B16" s="9" t="s">
        <v>14</v>
      </c>
      <c r="C16" s="721" t="s">
        <v>827</v>
      </c>
      <c r="D16" s="53" t="s">
        <v>303</v>
      </c>
      <c r="E16" s="53">
        <f>2*2.4</f>
        <v>4.8</v>
      </c>
      <c r="F16" s="57"/>
      <c r="G16" s="437"/>
      <c r="H16" s="446"/>
      <c r="I16" s="438"/>
      <c r="J16" s="439"/>
      <c r="K16" s="438"/>
      <c r="L16" s="315"/>
      <c r="M16" s="315"/>
      <c r="N16" s="315"/>
      <c r="O16" s="315"/>
      <c r="P16" s="315"/>
      <c r="Q16" s="315"/>
    </row>
    <row r="17" spans="1:17" ht="22.5" x14ac:dyDescent="0.25">
      <c r="A17" s="52">
        <f>IF(COUNTBLANK(B17)=1," ",COUNTA($B$12:B17))</f>
        <v>5</v>
      </c>
      <c r="B17" s="9" t="s">
        <v>14</v>
      </c>
      <c r="C17" s="721" t="s">
        <v>828</v>
      </c>
      <c r="D17" s="53" t="s">
        <v>32</v>
      </c>
      <c r="E17" s="377">
        <v>13</v>
      </c>
      <c r="F17" s="57"/>
      <c r="G17" s="437"/>
      <c r="H17" s="446"/>
      <c r="I17" s="438"/>
      <c r="J17" s="439"/>
      <c r="K17" s="438"/>
      <c r="L17" s="315"/>
      <c r="M17" s="315"/>
      <c r="N17" s="315"/>
      <c r="O17" s="315"/>
      <c r="P17" s="315"/>
      <c r="Q17" s="315"/>
    </row>
    <row r="18" spans="1:17" ht="22.5" x14ac:dyDescent="0.25">
      <c r="A18" s="52">
        <f>IF(COUNTBLANK(B18)=1," ",COUNTA($B$12:B18))</f>
        <v>6</v>
      </c>
      <c r="B18" s="9" t="s">
        <v>14</v>
      </c>
      <c r="C18" s="721" t="s">
        <v>829</v>
      </c>
      <c r="D18" s="53" t="s">
        <v>32</v>
      </c>
      <c r="E18" s="377">
        <v>2</v>
      </c>
      <c r="F18" s="57"/>
      <c r="G18" s="437"/>
      <c r="H18" s="446"/>
      <c r="I18" s="438"/>
      <c r="J18" s="439"/>
      <c r="K18" s="438"/>
      <c r="L18" s="315"/>
      <c r="M18" s="315"/>
      <c r="N18" s="315"/>
      <c r="O18" s="315"/>
      <c r="P18" s="315"/>
      <c r="Q18" s="315"/>
    </row>
    <row r="19" spans="1:17" ht="22.5" x14ac:dyDescent="0.25">
      <c r="A19" s="52">
        <f>IF(COUNTBLANK(B19)=1," ",COUNTA($B$12:B19))</f>
        <v>7</v>
      </c>
      <c r="B19" s="9" t="s">
        <v>14</v>
      </c>
      <c r="C19" s="721" t="s">
        <v>830</v>
      </c>
      <c r="D19" s="53" t="s">
        <v>26</v>
      </c>
      <c r="E19" s="53">
        <v>2.8</v>
      </c>
      <c r="F19" s="57"/>
      <c r="G19" s="60"/>
      <c r="H19" s="446"/>
      <c r="I19" s="15"/>
      <c r="J19" s="15"/>
      <c r="K19" s="60"/>
      <c r="L19" s="315"/>
      <c r="M19" s="315"/>
      <c r="N19" s="315"/>
      <c r="O19" s="315"/>
      <c r="P19" s="315"/>
      <c r="Q19" s="315"/>
    </row>
    <row r="20" spans="1:17" ht="22.5" x14ac:dyDescent="0.25">
      <c r="A20" s="52">
        <f>IF(COUNTBLANK(B20)=1," ",COUNTA($B$12:B20))</f>
        <v>8</v>
      </c>
      <c r="B20" s="9" t="s">
        <v>14</v>
      </c>
      <c r="C20" s="721" t="s">
        <v>831</v>
      </c>
      <c r="D20" s="53" t="s">
        <v>26</v>
      </c>
      <c r="E20" s="53">
        <v>28.8</v>
      </c>
      <c r="F20" s="57"/>
      <c r="G20" s="60"/>
      <c r="H20" s="446"/>
      <c r="I20" s="15"/>
      <c r="J20" s="15"/>
      <c r="K20" s="60"/>
      <c r="L20" s="315"/>
      <c r="M20" s="315"/>
      <c r="N20" s="315"/>
      <c r="O20" s="315"/>
      <c r="P20" s="315"/>
      <c r="Q20" s="315"/>
    </row>
    <row r="21" spans="1:17" ht="22.5" x14ac:dyDescent="0.25">
      <c r="A21" s="52">
        <f>IF(COUNTBLANK(B21)=1," ",COUNTA($B$12:B21))</f>
        <v>9</v>
      </c>
      <c r="B21" s="9" t="s">
        <v>14</v>
      </c>
      <c r="C21" s="721" t="s">
        <v>418</v>
      </c>
      <c r="D21" s="53" t="s">
        <v>303</v>
      </c>
      <c r="E21" s="53">
        <v>10</v>
      </c>
      <c r="F21" s="57"/>
      <c r="G21" s="437"/>
      <c r="H21" s="446"/>
      <c r="I21" s="438"/>
      <c r="J21" s="439"/>
      <c r="K21" s="438"/>
      <c r="L21" s="315"/>
      <c r="M21" s="315"/>
      <c r="N21" s="315"/>
      <c r="O21" s="315"/>
      <c r="P21" s="315"/>
      <c r="Q21" s="315"/>
    </row>
    <row r="22" spans="1:17" ht="22.5" x14ac:dyDescent="0.25">
      <c r="A22" s="52">
        <f>IF(COUNTBLANK(B22)=1," ",COUNTA($B$12:B22))</f>
        <v>10</v>
      </c>
      <c r="B22" s="9" t="s">
        <v>14</v>
      </c>
      <c r="C22" s="721" t="s">
        <v>832</v>
      </c>
      <c r="D22" s="53" t="s">
        <v>26</v>
      </c>
      <c r="E22" s="53">
        <f>0.063*14</f>
        <v>0.88200000000000001</v>
      </c>
      <c r="F22" s="60"/>
      <c r="G22" s="60"/>
      <c r="H22" s="446"/>
      <c r="I22" s="15"/>
      <c r="J22" s="15"/>
      <c r="K22" s="60"/>
      <c r="L22" s="315"/>
      <c r="M22" s="315"/>
      <c r="N22" s="315"/>
      <c r="O22" s="315"/>
      <c r="P22" s="315"/>
      <c r="Q22" s="315"/>
    </row>
    <row r="23" spans="1:17" ht="22.5" x14ac:dyDescent="0.25">
      <c r="A23" s="52">
        <f>IF(COUNTBLANK(B23)=1," ",COUNTA($B$12:B23))</f>
        <v>11</v>
      </c>
      <c r="B23" s="9" t="s">
        <v>14</v>
      </c>
      <c r="C23" s="327" t="s">
        <v>833</v>
      </c>
      <c r="D23" s="210" t="s">
        <v>16</v>
      </c>
      <c r="E23" s="420">
        <v>24</v>
      </c>
      <c r="F23" s="60"/>
      <c r="G23" s="60"/>
      <c r="H23" s="446"/>
      <c r="I23" s="15"/>
      <c r="J23" s="440"/>
      <c r="K23" s="60"/>
      <c r="L23" s="315"/>
      <c r="M23" s="315"/>
      <c r="N23" s="315"/>
      <c r="O23" s="315"/>
      <c r="P23" s="315"/>
      <c r="Q23" s="315"/>
    </row>
    <row r="24" spans="1:17" ht="22.5" x14ac:dyDescent="0.25">
      <c r="A24" s="52" t="str">
        <f>IF(COUNTBLANK(B24)=1," ",COUNTA($B$12:B24))</f>
        <v xml:space="preserve"> </v>
      </c>
      <c r="B24" s="669"/>
      <c r="C24" s="327" t="s">
        <v>304</v>
      </c>
      <c r="D24" s="210" t="s">
        <v>17</v>
      </c>
      <c r="E24" s="420">
        <v>6</v>
      </c>
      <c r="F24" s="57"/>
      <c r="G24" s="321"/>
      <c r="H24" s="320"/>
      <c r="I24" s="275"/>
      <c r="J24" s="136"/>
      <c r="K24" s="275"/>
      <c r="L24" s="315"/>
      <c r="M24" s="315"/>
      <c r="N24" s="315"/>
      <c r="O24" s="315"/>
      <c r="P24" s="315"/>
      <c r="Q24" s="315"/>
    </row>
    <row r="25" spans="1:17" ht="22.5" x14ac:dyDescent="0.25">
      <c r="A25" s="52" t="str">
        <f>IF(COUNTBLANK(B25)=1," ",COUNTA($B$12:B25))</f>
        <v xml:space="preserve"> </v>
      </c>
      <c r="B25" s="669"/>
      <c r="C25" s="327" t="s">
        <v>419</v>
      </c>
      <c r="D25" s="210" t="s">
        <v>26</v>
      </c>
      <c r="E25" s="420">
        <v>0.4</v>
      </c>
      <c r="F25" s="57"/>
      <c r="G25" s="321"/>
      <c r="H25" s="320"/>
      <c r="I25" s="275"/>
      <c r="J25" s="60"/>
      <c r="K25" s="275"/>
      <c r="L25" s="315"/>
      <c r="M25" s="315"/>
      <c r="N25" s="315"/>
      <c r="O25" s="315"/>
      <c r="P25" s="315"/>
      <c r="Q25" s="315"/>
    </row>
    <row r="26" spans="1:17" ht="22.5" x14ac:dyDescent="0.25">
      <c r="A26" s="52" t="str">
        <f>IF(COUNTBLANK(B26)=1," ",COUNTA($B$12:B26))</f>
        <v xml:space="preserve"> </v>
      </c>
      <c r="B26" s="669"/>
      <c r="C26" s="327" t="s">
        <v>420</v>
      </c>
      <c r="D26" s="204" t="s">
        <v>17</v>
      </c>
      <c r="E26" s="420">
        <f>24*0.45*0.05</f>
        <v>0.54</v>
      </c>
      <c r="F26" s="60"/>
      <c r="G26" s="321"/>
      <c r="H26" s="320"/>
      <c r="I26" s="275"/>
      <c r="J26" s="34"/>
      <c r="K26" s="275"/>
      <c r="L26" s="315"/>
      <c r="M26" s="315"/>
      <c r="N26" s="315"/>
      <c r="O26" s="315"/>
      <c r="P26" s="315"/>
      <c r="Q26" s="315"/>
    </row>
    <row r="27" spans="1:17" ht="22.5" x14ac:dyDescent="0.25">
      <c r="A27" s="52" t="str">
        <f>IF(COUNTBLANK(B27)=1," ",COUNTA($B$12:B27))</f>
        <v xml:space="preserve"> </v>
      </c>
      <c r="B27" s="669"/>
      <c r="C27" s="327" t="s">
        <v>308</v>
      </c>
      <c r="D27" s="204" t="s">
        <v>32</v>
      </c>
      <c r="E27" s="660">
        <v>40</v>
      </c>
      <c r="F27" s="60"/>
      <c r="G27" s="321"/>
      <c r="H27" s="320"/>
      <c r="I27" s="275"/>
      <c r="J27" s="34"/>
      <c r="K27" s="275"/>
      <c r="L27" s="315"/>
      <c r="M27" s="315"/>
      <c r="N27" s="315"/>
      <c r="O27" s="315"/>
      <c r="P27" s="315"/>
      <c r="Q27" s="315"/>
    </row>
    <row r="28" spans="1:17" x14ac:dyDescent="0.25">
      <c r="A28" s="52" t="str">
        <f>IF(COUNTBLANK(B28)=1," ",COUNTA($B$12:B28))</f>
        <v xml:space="preserve"> </v>
      </c>
      <c r="B28" s="669"/>
      <c r="C28" s="327" t="s">
        <v>421</v>
      </c>
      <c r="D28" s="204" t="s">
        <v>32</v>
      </c>
      <c r="E28" s="660">
        <v>80</v>
      </c>
      <c r="F28" s="57"/>
      <c r="G28" s="321"/>
      <c r="H28" s="320"/>
      <c r="I28" s="275"/>
      <c r="J28" s="34"/>
      <c r="K28" s="275"/>
      <c r="L28" s="315"/>
      <c r="M28" s="315"/>
      <c r="N28" s="315"/>
      <c r="O28" s="315"/>
      <c r="P28" s="315"/>
      <c r="Q28" s="315"/>
    </row>
    <row r="29" spans="1:17" ht="22.5" x14ac:dyDescent="0.25">
      <c r="A29" s="52" t="str">
        <f>IF(COUNTBLANK(B29)=1," ",COUNTA($B$12:B29))</f>
        <v xml:space="preserve"> </v>
      </c>
      <c r="B29" s="669"/>
      <c r="C29" s="327" t="s">
        <v>311</v>
      </c>
      <c r="D29" s="204" t="s">
        <v>17</v>
      </c>
      <c r="E29" s="420">
        <f>0.45*24</f>
        <v>10.8</v>
      </c>
      <c r="F29" s="57"/>
      <c r="G29" s="321"/>
      <c r="H29" s="320"/>
      <c r="I29" s="275"/>
      <c r="J29" s="57"/>
      <c r="K29" s="275"/>
      <c r="L29" s="315"/>
      <c r="M29" s="315"/>
      <c r="N29" s="315"/>
      <c r="O29" s="315"/>
      <c r="P29" s="315"/>
      <c r="Q29" s="315"/>
    </row>
    <row r="30" spans="1:17" ht="22.5" x14ac:dyDescent="0.25">
      <c r="A30" s="52" t="str">
        <f>IF(COUNTBLANK(B30)=1," ",COUNTA($B$12:B30))</f>
        <v xml:space="preserve"> </v>
      </c>
      <c r="B30" s="669"/>
      <c r="C30" s="327" t="s">
        <v>313</v>
      </c>
      <c r="D30" s="204" t="s">
        <v>32</v>
      </c>
      <c r="E30" s="660">
        <v>40</v>
      </c>
      <c r="F30" s="57"/>
      <c r="G30" s="321"/>
      <c r="H30" s="320"/>
      <c r="I30" s="275"/>
      <c r="J30" s="34"/>
      <c r="K30" s="275"/>
      <c r="L30" s="315"/>
      <c r="M30" s="315"/>
      <c r="N30" s="315"/>
      <c r="O30" s="315"/>
      <c r="P30" s="315"/>
      <c r="Q30" s="315"/>
    </row>
    <row r="31" spans="1:17" x14ac:dyDescent="0.25">
      <c r="A31" s="52" t="str">
        <f>IF(COUNTBLANK(B31)=1," ",COUNTA($B$12:B31))</f>
        <v xml:space="preserve"> </v>
      </c>
      <c r="B31" s="669"/>
      <c r="C31" s="327" t="s">
        <v>422</v>
      </c>
      <c r="D31" s="204" t="s">
        <v>17</v>
      </c>
      <c r="E31" s="420">
        <f>0.85*24</f>
        <v>20.399999999999999</v>
      </c>
      <c r="F31" s="57"/>
      <c r="G31" s="321"/>
      <c r="H31" s="320"/>
      <c r="I31" s="275"/>
      <c r="J31" s="275"/>
      <c r="K31" s="275"/>
      <c r="L31" s="315"/>
      <c r="M31" s="315"/>
      <c r="N31" s="315"/>
      <c r="O31" s="315"/>
      <c r="P31" s="315"/>
      <c r="Q31" s="315"/>
    </row>
    <row r="32" spans="1:17" ht="22.5" x14ac:dyDescent="0.25">
      <c r="A32" s="52" t="str">
        <f>IF(COUNTBLANK(B32)=1," ",COUNTA($B$12:B32))</f>
        <v xml:space="preserve"> </v>
      </c>
      <c r="B32" s="680"/>
      <c r="C32" s="721" t="s">
        <v>322</v>
      </c>
      <c r="D32" s="53"/>
      <c r="E32" s="53"/>
      <c r="F32" s="57"/>
      <c r="G32" s="321"/>
      <c r="H32" s="320"/>
      <c r="I32" s="275"/>
      <c r="J32" s="275"/>
      <c r="K32" s="275"/>
      <c r="L32" s="315"/>
      <c r="M32" s="315"/>
      <c r="N32" s="315"/>
      <c r="O32" s="315"/>
      <c r="P32" s="315"/>
      <c r="Q32" s="315"/>
    </row>
    <row r="33" spans="1:17" ht="22.5" x14ac:dyDescent="0.25">
      <c r="A33" s="52" t="str">
        <f>IF(COUNTBLANK(B33)=1," ",COUNTA($B$12:B33))</f>
        <v xml:space="preserve"> </v>
      </c>
      <c r="B33" s="664"/>
      <c r="C33" s="693" t="s">
        <v>423</v>
      </c>
      <c r="D33" s="664"/>
      <c r="E33" s="665"/>
      <c r="F33" s="57"/>
      <c r="G33" s="321"/>
      <c r="H33" s="320"/>
      <c r="I33" s="275"/>
      <c r="J33" s="275"/>
      <c r="K33" s="275"/>
      <c r="L33" s="315"/>
      <c r="M33" s="315"/>
      <c r="N33" s="315"/>
      <c r="O33" s="315"/>
      <c r="P33" s="315"/>
      <c r="Q33" s="315"/>
    </row>
    <row r="34" spans="1:17" ht="22.5" x14ac:dyDescent="0.25">
      <c r="A34" s="52" t="str">
        <f>IF(COUNTBLANK(B34)=1," ",COUNTA($B$12:B34))</f>
        <v xml:space="preserve"> </v>
      </c>
      <c r="B34" s="377"/>
      <c r="C34" s="54" t="s">
        <v>745</v>
      </c>
      <c r="D34" s="743"/>
      <c r="E34" s="377"/>
      <c r="F34" s="57"/>
      <c r="G34" s="321"/>
      <c r="H34" s="320"/>
      <c r="I34" s="275"/>
      <c r="J34" s="275"/>
      <c r="K34" s="275"/>
      <c r="L34" s="315"/>
      <c r="M34" s="315"/>
      <c r="N34" s="315"/>
      <c r="O34" s="315"/>
      <c r="P34" s="315"/>
      <c r="Q34" s="315"/>
    </row>
    <row r="35" spans="1:17" ht="22.5" x14ac:dyDescent="0.25">
      <c r="A35" s="52">
        <f>IF(COUNTBLANK(B35)=1," ",COUNTA($B$12:B35))</f>
        <v>12</v>
      </c>
      <c r="B35" s="9" t="s">
        <v>14</v>
      </c>
      <c r="C35" s="54" t="s">
        <v>424</v>
      </c>
      <c r="D35" s="743" t="s">
        <v>17</v>
      </c>
      <c r="E35" s="377">
        <f>51*1.2</f>
        <v>61.199999999999996</v>
      </c>
      <c r="F35" s="57"/>
      <c r="G35" s="437"/>
      <c r="H35" s="446"/>
      <c r="I35" s="438"/>
      <c r="J35" s="439"/>
      <c r="K35" s="438"/>
      <c r="L35" s="315"/>
      <c r="M35" s="315"/>
      <c r="N35" s="315"/>
      <c r="O35" s="315"/>
      <c r="P35" s="315"/>
      <c r="Q35" s="315"/>
    </row>
    <row r="36" spans="1:17" ht="22.5" x14ac:dyDescent="0.25">
      <c r="A36" s="52">
        <f>IF(COUNTBLANK(B36)=1," ",COUNTA($B$12:B36))</f>
        <v>13</v>
      </c>
      <c r="B36" s="9" t="s">
        <v>14</v>
      </c>
      <c r="C36" s="54" t="s">
        <v>749</v>
      </c>
      <c r="D36" s="676" t="s">
        <v>17</v>
      </c>
      <c r="E36" s="638">
        <f>0.3*61</f>
        <v>18.3</v>
      </c>
      <c r="F36" s="57"/>
      <c r="G36" s="437"/>
      <c r="H36" s="446"/>
      <c r="I36" s="438"/>
      <c r="J36" s="439"/>
      <c r="K36" s="438"/>
      <c r="L36" s="315"/>
      <c r="M36" s="315"/>
      <c r="N36" s="315"/>
      <c r="O36" s="315"/>
      <c r="P36" s="315"/>
      <c r="Q36" s="315"/>
    </row>
    <row r="37" spans="1:17" ht="22.5" x14ac:dyDescent="0.25">
      <c r="A37" s="52">
        <f>IF(COUNTBLANK(B37)=1," ",COUNTA($B$12:B37))</f>
        <v>14</v>
      </c>
      <c r="B37" s="9" t="s">
        <v>14</v>
      </c>
      <c r="C37" s="54" t="s">
        <v>326</v>
      </c>
      <c r="D37" s="676" t="s">
        <v>16</v>
      </c>
      <c r="E37" s="638">
        <v>51</v>
      </c>
      <c r="F37" s="57"/>
      <c r="G37" s="437"/>
      <c r="H37" s="446"/>
      <c r="I37" s="438"/>
      <c r="J37" s="439"/>
      <c r="K37" s="438"/>
      <c r="L37" s="315"/>
      <c r="M37" s="315"/>
      <c r="N37" s="315"/>
      <c r="O37" s="315"/>
      <c r="P37" s="315"/>
      <c r="Q37" s="315"/>
    </row>
    <row r="38" spans="1:17" ht="22.5" x14ac:dyDescent="0.25">
      <c r="A38" s="52">
        <f>IF(COUNTBLANK(B38)=1," ",COUNTA($B$12:B38))</f>
        <v>15</v>
      </c>
      <c r="B38" s="9" t="s">
        <v>14</v>
      </c>
      <c r="C38" s="54" t="s">
        <v>751</v>
      </c>
      <c r="D38" s="676" t="s">
        <v>26</v>
      </c>
      <c r="E38" s="681">
        <f>61*0.1*0.2</f>
        <v>1.2200000000000002</v>
      </c>
      <c r="F38" s="57"/>
      <c r="G38" s="312"/>
      <c r="H38" s="446"/>
      <c r="I38" s="312"/>
      <c r="J38" s="444"/>
      <c r="K38" s="312"/>
      <c r="L38" s="315"/>
      <c r="M38" s="315"/>
      <c r="N38" s="315"/>
      <c r="O38" s="315"/>
      <c r="P38" s="315"/>
      <c r="Q38" s="315"/>
    </row>
    <row r="39" spans="1:17" ht="22.5" x14ac:dyDescent="0.25">
      <c r="A39" s="52">
        <f>IF(COUNTBLANK(B39)=1," ",COUNTA($B$12:B39))</f>
        <v>16</v>
      </c>
      <c r="B39" s="9" t="s">
        <v>14</v>
      </c>
      <c r="C39" s="54" t="s">
        <v>425</v>
      </c>
      <c r="D39" s="676" t="s">
        <v>23</v>
      </c>
      <c r="E39" s="673">
        <f>12.2*10.79</f>
        <v>131.63799999999998</v>
      </c>
      <c r="F39" s="57"/>
      <c r="G39" s="437"/>
      <c r="H39" s="446"/>
      <c r="I39" s="438"/>
      <c r="J39" s="439"/>
      <c r="K39" s="438"/>
      <c r="L39" s="315"/>
      <c r="M39" s="315"/>
      <c r="N39" s="315"/>
      <c r="O39" s="315"/>
      <c r="P39" s="315"/>
      <c r="Q39" s="315"/>
    </row>
    <row r="40" spans="1:17" x14ac:dyDescent="0.25">
      <c r="A40" s="52">
        <f>IF(COUNTBLANK(B40)=1," ",COUNTA($B$12:B40))</f>
        <v>17</v>
      </c>
      <c r="B40" s="9" t="s">
        <v>14</v>
      </c>
      <c r="C40" s="675" t="s">
        <v>328</v>
      </c>
      <c r="D40" s="676" t="s">
        <v>17</v>
      </c>
      <c r="E40" s="673">
        <v>5.5</v>
      </c>
      <c r="F40" s="57"/>
      <c r="G40" s="312"/>
      <c r="H40" s="446"/>
      <c r="I40" s="312"/>
      <c r="J40" s="312"/>
      <c r="K40" s="312"/>
      <c r="L40" s="315"/>
      <c r="M40" s="315"/>
      <c r="N40" s="315"/>
      <c r="O40" s="315"/>
      <c r="P40" s="315"/>
      <c r="Q40" s="315"/>
    </row>
    <row r="41" spans="1:17" x14ac:dyDescent="0.25">
      <c r="A41" s="52" t="str">
        <f>IF(COUNTBLANK(B41)=1," ",COUNTA($B$12:B41))</f>
        <v xml:space="preserve"> </v>
      </c>
      <c r="B41" s="377"/>
      <c r="C41" s="54" t="s">
        <v>329</v>
      </c>
      <c r="D41" s="676" t="s">
        <v>32</v>
      </c>
      <c r="E41" s="638">
        <v>122</v>
      </c>
      <c r="F41" s="57"/>
      <c r="G41" s="136"/>
      <c r="H41" s="271"/>
      <c r="I41" s="136"/>
      <c r="J41" s="306"/>
      <c r="K41" s="136"/>
      <c r="L41" s="315"/>
      <c r="M41" s="315"/>
      <c r="N41" s="315"/>
      <c r="O41" s="315"/>
      <c r="P41" s="315"/>
      <c r="Q41" s="315"/>
    </row>
    <row r="42" spans="1:17" x14ac:dyDescent="0.25">
      <c r="A42" s="52" t="str">
        <f>IF(COUNTBLANK(B42)=1," ",COUNTA($B$12:B42))</f>
        <v xml:space="preserve"> </v>
      </c>
      <c r="B42" s="377"/>
      <c r="C42" s="54" t="s">
        <v>330</v>
      </c>
      <c r="D42" s="676" t="s">
        <v>32</v>
      </c>
      <c r="E42" s="638">
        <v>122</v>
      </c>
      <c r="F42" s="57"/>
      <c r="G42" s="136"/>
      <c r="H42" s="271"/>
      <c r="I42" s="136"/>
      <c r="J42" s="306"/>
      <c r="K42" s="136"/>
      <c r="L42" s="315"/>
      <c r="M42" s="315"/>
      <c r="N42" s="315"/>
      <c r="O42" s="315"/>
      <c r="P42" s="315"/>
      <c r="Q42" s="315"/>
    </row>
    <row r="43" spans="1:17" ht="22.5" x14ac:dyDescent="0.25">
      <c r="A43" s="52"/>
      <c r="B43" s="377"/>
      <c r="C43" s="54" t="s">
        <v>727</v>
      </c>
      <c r="D43" s="676" t="s">
        <v>26</v>
      </c>
      <c r="E43" s="681">
        <v>0.66</v>
      </c>
      <c r="F43" s="57"/>
      <c r="G43" s="136"/>
      <c r="H43" s="446"/>
      <c r="I43" s="136"/>
      <c r="J43" s="306"/>
      <c r="K43" s="136"/>
      <c r="L43" s="315"/>
      <c r="M43" s="315"/>
      <c r="N43" s="315"/>
      <c r="O43" s="315"/>
      <c r="P43" s="315"/>
      <c r="Q43" s="315"/>
    </row>
    <row r="44" spans="1:17" x14ac:dyDescent="0.25">
      <c r="A44" s="52"/>
      <c r="B44" s="377"/>
      <c r="C44" s="54" t="s">
        <v>728</v>
      </c>
      <c r="D44" s="676" t="s">
        <v>32</v>
      </c>
      <c r="E44" s="638">
        <v>120</v>
      </c>
      <c r="F44" s="57"/>
      <c r="G44" s="136"/>
      <c r="H44" s="446"/>
      <c r="I44" s="136"/>
      <c r="J44" s="306"/>
      <c r="K44" s="136"/>
      <c r="L44" s="315"/>
      <c r="M44" s="315"/>
      <c r="N44" s="315"/>
      <c r="O44" s="315"/>
      <c r="P44" s="315"/>
      <c r="Q44" s="315"/>
    </row>
    <row r="45" spans="1:17" x14ac:dyDescent="0.25">
      <c r="A45" s="52">
        <f>IF(COUNTBLANK(B45)=1," ",COUNTA($B$12:B45))</f>
        <v>18</v>
      </c>
      <c r="B45" s="9" t="s">
        <v>14</v>
      </c>
      <c r="C45" s="54" t="s">
        <v>834</v>
      </c>
      <c r="D45" s="676" t="s">
        <v>26</v>
      </c>
      <c r="E45" s="638">
        <f>0.2*51*1.1</f>
        <v>11.220000000000002</v>
      </c>
      <c r="F45" s="57"/>
      <c r="G45" s="312"/>
      <c r="H45" s="446"/>
      <c r="I45" s="312"/>
      <c r="J45" s="312"/>
      <c r="K45" s="312"/>
      <c r="L45" s="315"/>
      <c r="M45" s="315"/>
      <c r="N45" s="315"/>
      <c r="O45" s="315"/>
      <c r="P45" s="315"/>
      <c r="Q45" s="315"/>
    </row>
    <row r="46" spans="1:17" ht="22.5" x14ac:dyDescent="0.25">
      <c r="A46" s="52">
        <f>IF(COUNTBLANK(B46)=1," ",COUNTA($B$12:B46))</f>
        <v>19</v>
      </c>
      <c r="B46" s="9" t="s">
        <v>14</v>
      </c>
      <c r="C46" s="54" t="s">
        <v>835</v>
      </c>
      <c r="D46" s="676" t="s">
        <v>16</v>
      </c>
      <c r="E46" s="638">
        <v>51</v>
      </c>
      <c r="F46" s="57"/>
      <c r="G46" s="60"/>
      <c r="H46" s="446"/>
      <c r="I46" s="15"/>
      <c r="J46" s="440"/>
      <c r="K46" s="60"/>
      <c r="L46" s="315"/>
      <c r="M46" s="315"/>
      <c r="N46" s="315"/>
      <c r="O46" s="315"/>
      <c r="P46" s="315"/>
      <c r="Q46" s="315"/>
    </row>
    <row r="47" spans="1:17" ht="22.5" x14ac:dyDescent="0.25">
      <c r="A47" s="52" t="str">
        <f>IF(COUNTBLANK(B47)=1," ",COUNTA($B$12:B47))</f>
        <v xml:space="preserve"> </v>
      </c>
      <c r="B47" s="638"/>
      <c r="C47" s="54" t="s">
        <v>891</v>
      </c>
      <c r="D47" s="676" t="s">
        <v>17</v>
      </c>
      <c r="E47" s="638">
        <f>0.5*51</f>
        <v>25.5</v>
      </c>
      <c r="F47" s="57"/>
      <c r="G47" s="34"/>
      <c r="H47" s="271"/>
      <c r="I47" s="34"/>
      <c r="J47" s="306"/>
      <c r="K47" s="34"/>
      <c r="L47" s="315"/>
      <c r="M47" s="315"/>
      <c r="N47" s="315"/>
      <c r="O47" s="315"/>
      <c r="P47" s="315"/>
      <c r="Q47" s="315"/>
    </row>
    <row r="48" spans="1:17" ht="33.75" x14ac:dyDescent="0.25">
      <c r="A48" s="52" t="str">
        <f>IF(COUNTBLANK(B48)=1," ",COUNTA($B$12:B48))</f>
        <v xml:space="preserve"> </v>
      </c>
      <c r="B48" s="682"/>
      <c r="C48" s="54" t="s">
        <v>426</v>
      </c>
      <c r="D48" s="743" t="s">
        <v>23</v>
      </c>
      <c r="E48" s="377">
        <f>24.4*0.004*0.05*7800</f>
        <v>38.064</v>
      </c>
      <c r="F48" s="57"/>
      <c r="G48" s="34"/>
      <c r="H48" s="271"/>
      <c r="I48" s="34"/>
      <c r="J48" s="306"/>
      <c r="K48" s="34"/>
      <c r="L48" s="315"/>
      <c r="M48" s="315"/>
      <c r="N48" s="315"/>
      <c r="O48" s="315"/>
      <c r="P48" s="315"/>
      <c r="Q48" s="315"/>
    </row>
    <row r="49" spans="1:18" x14ac:dyDescent="0.25">
      <c r="A49" s="52" t="str">
        <f>IF(COUNTBLANK(B49)=1," ",COUNTA($B$12:B49))</f>
        <v xml:space="preserve"> </v>
      </c>
      <c r="B49" s="682"/>
      <c r="C49" s="54" t="s">
        <v>333</v>
      </c>
      <c r="D49" s="743" t="s">
        <v>32</v>
      </c>
      <c r="E49" s="638">
        <v>122</v>
      </c>
      <c r="F49" s="57"/>
      <c r="G49" s="34"/>
      <c r="H49" s="271"/>
      <c r="I49" s="34"/>
      <c r="J49" s="306"/>
      <c r="K49" s="34"/>
      <c r="L49" s="315"/>
      <c r="M49" s="315"/>
      <c r="N49" s="315"/>
      <c r="O49" s="315"/>
      <c r="P49" s="315"/>
      <c r="Q49" s="315"/>
    </row>
    <row r="50" spans="1:18" ht="22.5" x14ac:dyDescent="0.25">
      <c r="A50" s="52" t="str">
        <f>IF(COUNTBLANK(B50)=1," ",COUNTA($B$12:B50))</f>
        <v xml:space="preserve"> </v>
      </c>
      <c r="B50" s="682"/>
      <c r="C50" s="54" t="s">
        <v>427</v>
      </c>
      <c r="D50" s="743" t="s">
        <v>23</v>
      </c>
      <c r="E50" s="377">
        <f>85.4*0.004*0.04*7800</f>
        <v>106.5792</v>
      </c>
      <c r="F50" s="57"/>
      <c r="G50" s="34"/>
      <c r="H50" s="271"/>
      <c r="I50" s="34"/>
      <c r="J50" s="306"/>
      <c r="K50" s="34"/>
      <c r="L50" s="315"/>
      <c r="M50" s="315"/>
      <c r="N50" s="315"/>
      <c r="O50" s="315"/>
      <c r="P50" s="315"/>
      <c r="Q50" s="315"/>
    </row>
    <row r="51" spans="1:18" ht="22.5" x14ac:dyDescent="0.25">
      <c r="A51" s="52" t="str">
        <f>IF(COUNTBLANK(B51)=1," ",COUNTA($B$12:B51))</f>
        <v xml:space="preserve"> </v>
      </c>
      <c r="B51" s="682"/>
      <c r="C51" s="54" t="s">
        <v>335</v>
      </c>
      <c r="D51" s="743" t="s">
        <v>32</v>
      </c>
      <c r="E51" s="638">
        <v>122</v>
      </c>
      <c r="F51" s="57"/>
      <c r="G51" s="34"/>
      <c r="H51" s="271"/>
      <c r="I51" s="34"/>
      <c r="J51" s="306"/>
      <c r="K51" s="34"/>
      <c r="L51" s="315"/>
      <c r="M51" s="315"/>
      <c r="N51" s="315"/>
      <c r="O51" s="315"/>
      <c r="P51" s="315"/>
      <c r="Q51" s="315"/>
    </row>
    <row r="52" spans="1:18" ht="22.5" x14ac:dyDescent="0.25">
      <c r="A52" s="52" t="str">
        <f>IF(COUNTBLANK(B52)=1," ",COUNTA($B$12:B52))</f>
        <v xml:space="preserve"> </v>
      </c>
      <c r="B52" s="682"/>
      <c r="C52" s="54" t="s">
        <v>336</v>
      </c>
      <c r="D52" s="743" t="s">
        <v>17</v>
      </c>
      <c r="E52" s="638">
        <f>61*0.75</f>
        <v>45.75</v>
      </c>
      <c r="F52" s="57"/>
      <c r="G52" s="34"/>
      <c r="H52" s="271"/>
      <c r="I52" s="34"/>
      <c r="J52" s="306"/>
      <c r="K52" s="34"/>
      <c r="L52" s="315"/>
      <c r="M52" s="315"/>
      <c r="N52" s="315"/>
      <c r="O52" s="315"/>
      <c r="P52" s="315"/>
      <c r="Q52" s="315"/>
    </row>
    <row r="53" spans="1:18" x14ac:dyDescent="0.25">
      <c r="A53" s="52">
        <f>IF(COUNTBLANK(B53)=1," ",COUNTA($B$12:B53))</f>
        <v>20</v>
      </c>
      <c r="B53" s="9" t="s">
        <v>14</v>
      </c>
      <c r="C53" s="54" t="s">
        <v>337</v>
      </c>
      <c r="D53" s="743" t="s">
        <v>17</v>
      </c>
      <c r="E53" s="638">
        <v>9</v>
      </c>
      <c r="F53" s="57"/>
      <c r="G53" s="312"/>
      <c r="H53" s="446"/>
      <c r="I53" s="312"/>
      <c r="J53" s="312"/>
      <c r="K53" s="312"/>
      <c r="L53" s="315"/>
      <c r="M53" s="315"/>
      <c r="N53" s="315"/>
      <c r="O53" s="315"/>
      <c r="P53" s="315"/>
      <c r="Q53" s="315"/>
    </row>
    <row r="54" spans="1:18" x14ac:dyDescent="0.25">
      <c r="A54" s="52"/>
      <c r="B54" s="9"/>
      <c r="C54" s="54" t="s">
        <v>735</v>
      </c>
      <c r="D54" s="743" t="s">
        <v>17</v>
      </c>
      <c r="E54" s="673">
        <v>79.099999999999994</v>
      </c>
      <c r="F54" s="57"/>
      <c r="G54" s="312"/>
      <c r="H54" s="446"/>
      <c r="I54" s="312"/>
      <c r="J54" s="312"/>
      <c r="K54" s="312"/>
      <c r="L54" s="315"/>
      <c r="M54" s="315"/>
      <c r="N54" s="315"/>
      <c r="O54" s="315"/>
      <c r="P54" s="315"/>
      <c r="Q54" s="315"/>
    </row>
    <row r="55" spans="1:18" s="94" customFormat="1" x14ac:dyDescent="0.25">
      <c r="A55" s="52">
        <f>IF(COUNTBLANK(B55)=1," ",COUNTA($B$12:B55))</f>
        <v>21</v>
      </c>
      <c r="B55" s="9" t="s">
        <v>14</v>
      </c>
      <c r="C55" s="14" t="s">
        <v>732</v>
      </c>
      <c r="D55" s="743"/>
      <c r="E55" s="53"/>
      <c r="F55" s="445"/>
      <c r="G55" s="136"/>
      <c r="H55" s="446"/>
      <c r="I55" s="136"/>
      <c r="J55" s="58"/>
      <c r="K55" s="58"/>
      <c r="L55" s="315"/>
      <c r="M55" s="315"/>
      <c r="N55" s="315"/>
      <c r="O55" s="315"/>
      <c r="P55" s="315"/>
      <c r="Q55" s="315"/>
    </row>
    <row r="56" spans="1:18" ht="22.5" x14ac:dyDescent="0.25">
      <c r="A56" s="52" t="str">
        <f>IF(COUNTBLANK(B56)=1," ",COUNTA($B$12:B56))</f>
        <v xml:space="preserve"> </v>
      </c>
      <c r="B56" s="377"/>
      <c r="C56" s="14" t="s">
        <v>892</v>
      </c>
      <c r="D56" s="743" t="s">
        <v>17</v>
      </c>
      <c r="E56" s="673">
        <f>1.55*51</f>
        <v>79.05</v>
      </c>
      <c r="F56" s="60"/>
      <c r="G56" s="136"/>
      <c r="H56" s="271"/>
      <c r="I56" s="136"/>
      <c r="J56" s="310"/>
      <c r="K56" s="136"/>
      <c r="L56" s="315"/>
      <c r="M56" s="315"/>
      <c r="N56" s="315"/>
      <c r="O56" s="315"/>
      <c r="P56" s="315"/>
      <c r="Q56" s="315"/>
    </row>
    <row r="57" spans="1:18" ht="22.5" x14ac:dyDescent="0.25">
      <c r="A57" s="52" t="str">
        <f>IF(COUNTBLANK(B57)=1," ",COUNTA($B$12:B57))</f>
        <v xml:space="preserve"> </v>
      </c>
      <c r="B57" s="377"/>
      <c r="C57" s="14" t="s">
        <v>893</v>
      </c>
      <c r="D57" s="743" t="s">
        <v>17</v>
      </c>
      <c r="E57" s="673">
        <f>1.55*51</f>
        <v>79.05</v>
      </c>
      <c r="F57" s="60"/>
      <c r="G57" s="136"/>
      <c r="H57" s="271"/>
      <c r="I57" s="136"/>
      <c r="J57" s="310"/>
      <c r="K57" s="136"/>
      <c r="L57" s="315"/>
      <c r="M57" s="315"/>
      <c r="N57" s="315"/>
      <c r="O57" s="315"/>
      <c r="P57" s="315"/>
      <c r="Q57" s="315"/>
    </row>
    <row r="58" spans="1:18" x14ac:dyDescent="0.25">
      <c r="A58" s="52" t="str">
        <f>IF(COUNTBLANK(B58)=1," ",COUNTA($B$12:B58))</f>
        <v xml:space="preserve"> </v>
      </c>
      <c r="B58" s="377"/>
      <c r="C58" s="14" t="s">
        <v>438</v>
      </c>
      <c r="D58" s="743" t="s">
        <v>439</v>
      </c>
      <c r="E58" s="53">
        <v>2</v>
      </c>
      <c r="F58" s="60"/>
      <c r="G58" s="136"/>
      <c r="H58" s="271"/>
      <c r="I58" s="136"/>
      <c r="J58" s="310"/>
      <c r="K58" s="136"/>
      <c r="L58" s="315"/>
      <c r="M58" s="315"/>
      <c r="N58" s="315"/>
      <c r="O58" s="315"/>
      <c r="P58" s="315"/>
      <c r="Q58" s="315"/>
    </row>
    <row r="59" spans="1:18" ht="22.5" x14ac:dyDescent="0.25">
      <c r="A59" s="52" t="str">
        <f>IF(COUNTBLANK(B59)=1," ",COUNTA($B$12:B59))</f>
        <v xml:space="preserve"> </v>
      </c>
      <c r="B59" s="683"/>
      <c r="C59" s="675" t="s">
        <v>428</v>
      </c>
      <c r="D59" s="743"/>
      <c r="E59" s="53"/>
      <c r="F59" s="57"/>
      <c r="G59" s="34"/>
      <c r="H59" s="271"/>
      <c r="I59" s="34"/>
      <c r="J59" s="34"/>
      <c r="K59" s="34"/>
      <c r="L59" s="315"/>
      <c r="M59" s="315"/>
      <c r="N59" s="315"/>
      <c r="O59" s="315"/>
      <c r="P59" s="315"/>
      <c r="Q59" s="315"/>
    </row>
    <row r="60" spans="1:18" ht="22.5" x14ac:dyDescent="0.25">
      <c r="A60" s="52">
        <f>IF(COUNTBLANK(B60)=1," ",COUNTA($B$12:B60))</f>
        <v>22</v>
      </c>
      <c r="B60" s="9" t="s">
        <v>14</v>
      </c>
      <c r="C60" s="675" t="s">
        <v>836</v>
      </c>
      <c r="D60" s="676" t="s">
        <v>17</v>
      </c>
      <c r="E60" s="673">
        <f>0.3*51</f>
        <v>15.299999999999999</v>
      </c>
      <c r="F60" s="57"/>
      <c r="G60" s="136"/>
      <c r="H60" s="446"/>
      <c r="I60" s="136"/>
      <c r="J60" s="58"/>
      <c r="K60" s="58"/>
      <c r="L60" s="315"/>
      <c r="M60" s="315"/>
      <c r="N60" s="315"/>
      <c r="O60" s="315"/>
      <c r="P60" s="315"/>
      <c r="Q60" s="315"/>
    </row>
    <row r="61" spans="1:18" x14ac:dyDescent="0.25">
      <c r="A61" s="52">
        <f>IF(COUNTBLANK(B61)=1," ",COUNTA($B$12:B61))</f>
        <v>23</v>
      </c>
      <c r="B61" s="9" t="s">
        <v>14</v>
      </c>
      <c r="C61" s="675" t="s">
        <v>338</v>
      </c>
      <c r="D61" s="676" t="s">
        <v>16</v>
      </c>
      <c r="E61" s="673">
        <v>51</v>
      </c>
      <c r="F61" s="57"/>
      <c r="G61" s="136"/>
      <c r="H61" s="446"/>
      <c r="I61" s="136"/>
      <c r="J61" s="58"/>
      <c r="K61" s="58"/>
      <c r="L61" s="315"/>
      <c r="M61" s="315"/>
      <c r="N61" s="315"/>
      <c r="O61" s="315"/>
      <c r="P61" s="315"/>
      <c r="Q61" s="315"/>
    </row>
    <row r="62" spans="1:18" s="94" customFormat="1" ht="22.5" x14ac:dyDescent="0.25">
      <c r="A62" s="52">
        <f>IF(COUNTBLANK(B62)=1," ",COUNTA($B$12:B62))</f>
        <v>24</v>
      </c>
      <c r="B62" s="9" t="s">
        <v>14</v>
      </c>
      <c r="C62" s="675" t="s">
        <v>746</v>
      </c>
      <c r="D62" s="676" t="s">
        <v>17</v>
      </c>
      <c r="E62" s="673">
        <f>1.05*51</f>
        <v>53.550000000000004</v>
      </c>
      <c r="F62" s="445"/>
      <c r="G62" s="136"/>
      <c r="H62" s="446"/>
      <c r="I62" s="136"/>
      <c r="J62" s="58"/>
      <c r="K62" s="58"/>
      <c r="L62" s="315"/>
      <c r="M62" s="315"/>
      <c r="N62" s="315"/>
      <c r="O62" s="315"/>
      <c r="P62" s="315"/>
      <c r="Q62" s="315"/>
      <c r="R62" s="740"/>
    </row>
    <row r="63" spans="1:18" ht="22.5" x14ac:dyDescent="0.25">
      <c r="A63" s="52">
        <f>IF(COUNTBLANK(B63)=1," ",COUNTA($B$12:B63))</f>
        <v>25</v>
      </c>
      <c r="B63" s="9" t="s">
        <v>14</v>
      </c>
      <c r="C63" s="675" t="s">
        <v>339</v>
      </c>
      <c r="D63" s="676" t="s">
        <v>16</v>
      </c>
      <c r="E63" s="673">
        <v>51</v>
      </c>
      <c r="F63" s="57"/>
      <c r="G63" s="136"/>
      <c r="H63" s="446"/>
      <c r="I63" s="136"/>
      <c r="J63" s="58"/>
      <c r="K63" s="58"/>
      <c r="L63" s="315"/>
      <c r="M63" s="315"/>
      <c r="N63" s="315"/>
      <c r="O63" s="315"/>
      <c r="P63" s="315"/>
      <c r="Q63" s="315"/>
    </row>
    <row r="64" spans="1:18" ht="22.5" x14ac:dyDescent="0.25">
      <c r="A64" s="52">
        <f>IF(COUNTBLANK(B64)=1," ",COUNTA($B$12:B64))</f>
        <v>26</v>
      </c>
      <c r="B64" s="9" t="s">
        <v>14</v>
      </c>
      <c r="C64" s="675" t="s">
        <v>340</v>
      </c>
      <c r="D64" s="743" t="s">
        <v>16</v>
      </c>
      <c r="E64" s="53">
        <v>51</v>
      </c>
      <c r="F64" s="57"/>
      <c r="G64" s="10"/>
      <c r="H64" s="446"/>
      <c r="I64" s="34"/>
      <c r="J64" s="58"/>
      <c r="K64" s="10"/>
      <c r="L64" s="315"/>
      <c r="M64" s="315"/>
      <c r="N64" s="315"/>
      <c r="O64" s="315"/>
      <c r="P64" s="315"/>
      <c r="Q64" s="315"/>
    </row>
    <row r="65" spans="1:234" x14ac:dyDescent="0.25">
      <c r="A65" s="52">
        <f>IF(COUNTBLANK(B65)=1," ",COUNTA($B$12:B65))</f>
        <v>27</v>
      </c>
      <c r="B65" s="9" t="s">
        <v>14</v>
      </c>
      <c r="C65" s="675" t="s">
        <v>341</v>
      </c>
      <c r="D65" s="743" t="s">
        <v>16</v>
      </c>
      <c r="E65" s="53">
        <v>51</v>
      </c>
      <c r="F65" s="57"/>
      <c r="G65" s="136"/>
      <c r="H65" s="446"/>
      <c r="I65" s="436"/>
      <c r="J65" s="306"/>
      <c r="K65" s="136"/>
      <c r="L65" s="315"/>
      <c r="M65" s="315"/>
      <c r="N65" s="315"/>
      <c r="O65" s="315"/>
      <c r="P65" s="315"/>
      <c r="Q65" s="315"/>
    </row>
    <row r="66" spans="1:234" ht="22.5" x14ac:dyDescent="0.25">
      <c r="A66" s="52">
        <f>IF(COUNTBLANK(B66)=1," ",COUNTA($B$12:B66))</f>
        <v>28</v>
      </c>
      <c r="B66" s="9" t="s">
        <v>14</v>
      </c>
      <c r="C66" s="675" t="s">
        <v>342</v>
      </c>
      <c r="D66" s="743" t="s">
        <v>32</v>
      </c>
      <c r="E66" s="377">
        <v>9</v>
      </c>
      <c r="F66" s="57"/>
      <c r="G66" s="136"/>
      <c r="H66" s="446"/>
      <c r="I66" s="436"/>
      <c r="J66" s="306"/>
      <c r="K66" s="136"/>
      <c r="L66" s="315"/>
      <c r="M66" s="315"/>
      <c r="N66" s="315"/>
      <c r="O66" s="315"/>
      <c r="P66" s="315"/>
      <c r="Q66" s="315"/>
    </row>
    <row r="67" spans="1:234" ht="22.5" x14ac:dyDescent="0.25">
      <c r="A67" s="52" t="str">
        <f>IF(COUNTBLANK(B67)=1," ",COUNTA($B$12:B67))</f>
        <v xml:space="preserve"> </v>
      </c>
      <c r="B67" s="377"/>
      <c r="C67" s="54" t="s">
        <v>747</v>
      </c>
      <c r="D67" s="743" t="s">
        <v>32</v>
      </c>
      <c r="E67" s="377">
        <v>2</v>
      </c>
      <c r="F67" s="57"/>
      <c r="G67" s="34"/>
      <c r="H67" s="271"/>
      <c r="I67" s="34"/>
      <c r="J67" s="34"/>
      <c r="K67" s="34"/>
      <c r="L67" s="315"/>
      <c r="M67" s="315"/>
      <c r="N67" s="315"/>
      <c r="O67" s="315"/>
      <c r="P67" s="315"/>
      <c r="Q67" s="315"/>
    </row>
    <row r="68" spans="1:234" ht="22.5" x14ac:dyDescent="0.25">
      <c r="A68" s="52">
        <f>IF(COUNTBLANK(B68)=1," ",COUNTA($B$12:B68))</f>
        <v>29</v>
      </c>
      <c r="B68" s="9" t="s">
        <v>14</v>
      </c>
      <c r="C68" s="54" t="s">
        <v>748</v>
      </c>
      <c r="D68" s="743" t="s">
        <v>17</v>
      </c>
      <c r="E68" s="53">
        <v>8.4</v>
      </c>
      <c r="F68" s="57"/>
      <c r="G68" s="437"/>
      <c r="H68" s="446"/>
      <c r="I68" s="438"/>
      <c r="J68" s="439"/>
      <c r="K68" s="438"/>
      <c r="L68" s="315"/>
      <c r="M68" s="315"/>
      <c r="N68" s="315"/>
      <c r="O68" s="315"/>
      <c r="P68" s="315"/>
      <c r="Q68" s="315"/>
    </row>
    <row r="69" spans="1:234" ht="22.5" x14ac:dyDescent="0.25">
      <c r="A69" s="52">
        <f>IF(COUNTBLANK(B69)=1," ",COUNTA($B$12:B69))</f>
        <v>30</v>
      </c>
      <c r="B69" s="9" t="s">
        <v>14</v>
      </c>
      <c r="C69" s="54" t="s">
        <v>750</v>
      </c>
      <c r="D69" s="676" t="s">
        <v>17</v>
      </c>
      <c r="E69" s="673">
        <f>0.3*12</f>
        <v>3.5999999999999996</v>
      </c>
      <c r="F69" s="57"/>
      <c r="G69" s="437"/>
      <c r="H69" s="446"/>
      <c r="I69" s="438"/>
      <c r="J69" s="439"/>
      <c r="K69" s="438"/>
      <c r="L69" s="315"/>
      <c r="M69" s="315"/>
      <c r="N69" s="315"/>
      <c r="O69" s="315"/>
      <c r="P69" s="315"/>
      <c r="Q69" s="315"/>
    </row>
    <row r="70" spans="1:234" ht="22.5" x14ac:dyDescent="0.25">
      <c r="A70" s="52">
        <f>IF(COUNTBLANK(B70)=1," ",COUNTA($B$12:B70))</f>
        <v>31</v>
      </c>
      <c r="B70" s="9" t="s">
        <v>14</v>
      </c>
      <c r="C70" s="54" t="s">
        <v>345</v>
      </c>
      <c r="D70" s="676" t="s">
        <v>17</v>
      </c>
      <c r="E70" s="673">
        <f>12*0.2</f>
        <v>2.4000000000000004</v>
      </c>
      <c r="F70" s="57"/>
      <c r="G70" s="437"/>
      <c r="H70" s="446"/>
      <c r="I70" s="438"/>
      <c r="J70" s="439"/>
      <c r="K70" s="438"/>
      <c r="L70" s="315"/>
      <c r="M70" s="315"/>
      <c r="N70" s="315"/>
      <c r="O70" s="315"/>
      <c r="P70" s="315"/>
      <c r="Q70" s="315"/>
    </row>
    <row r="71" spans="1:234" s="32" customFormat="1" ht="22.5" x14ac:dyDescent="0.25">
      <c r="A71" s="52">
        <f>IF(COUNTBLANK(B71)=1," ",COUNTA($B$12:B71))</f>
        <v>32</v>
      </c>
      <c r="B71" s="9" t="s">
        <v>14</v>
      </c>
      <c r="C71" s="54" t="s">
        <v>346</v>
      </c>
      <c r="D71" s="676" t="s">
        <v>26</v>
      </c>
      <c r="E71" s="681">
        <f>0.25*2</f>
        <v>0.5</v>
      </c>
      <c r="F71" s="291"/>
      <c r="G71" s="136"/>
      <c r="H71" s="446"/>
      <c r="I71" s="12"/>
      <c r="J71" s="306"/>
      <c r="K71" s="136"/>
      <c r="L71" s="315"/>
      <c r="M71" s="315"/>
      <c r="N71" s="315"/>
      <c r="O71" s="315"/>
      <c r="P71" s="315"/>
      <c r="Q71" s="315"/>
      <c r="R71" s="422"/>
      <c r="S71" s="422"/>
      <c r="T71" s="422"/>
      <c r="U71" s="422"/>
      <c r="V71" s="422"/>
      <c r="W71" s="422"/>
      <c r="X71" s="422"/>
      <c r="Y71" s="422"/>
      <c r="Z71" s="422"/>
      <c r="AA71" s="422"/>
      <c r="AB71" s="422"/>
      <c r="AC71" s="422"/>
      <c r="AD71" s="422"/>
      <c r="AE71" s="422"/>
      <c r="AF71" s="422"/>
      <c r="AG71" s="422"/>
      <c r="AH71" s="422"/>
      <c r="AI71" s="422"/>
      <c r="AJ71" s="422"/>
      <c r="AK71" s="422"/>
      <c r="AL71" s="422"/>
      <c r="AM71" s="422"/>
      <c r="AN71" s="422"/>
      <c r="AO71" s="422"/>
      <c r="AP71" s="422"/>
      <c r="AQ71" s="422"/>
      <c r="AR71" s="422"/>
      <c r="AS71" s="422"/>
      <c r="AT71" s="422"/>
      <c r="AU71" s="422"/>
      <c r="AV71" s="422"/>
      <c r="AW71" s="422"/>
      <c r="AX71" s="422"/>
      <c r="AY71" s="422"/>
      <c r="AZ71" s="422"/>
      <c r="BA71" s="422"/>
      <c r="BB71" s="422"/>
      <c r="BC71" s="422"/>
      <c r="BD71" s="422"/>
      <c r="BE71" s="422"/>
      <c r="BF71" s="422"/>
      <c r="BG71" s="422"/>
      <c r="BH71" s="422"/>
      <c r="BI71" s="422"/>
      <c r="BJ71" s="422"/>
      <c r="BK71" s="422"/>
      <c r="BL71" s="422"/>
      <c r="BM71" s="422"/>
      <c r="BN71" s="422"/>
      <c r="BO71" s="422"/>
      <c r="BP71" s="422"/>
      <c r="BQ71" s="422"/>
      <c r="BR71" s="422"/>
      <c r="BS71" s="422"/>
      <c r="BT71" s="422"/>
      <c r="BU71" s="422"/>
      <c r="BV71" s="422"/>
      <c r="BW71" s="422"/>
      <c r="BX71" s="422"/>
      <c r="BY71" s="422"/>
      <c r="BZ71" s="422"/>
      <c r="CA71" s="422"/>
      <c r="CB71" s="422"/>
      <c r="CC71" s="422"/>
      <c r="CD71" s="422"/>
      <c r="CE71" s="422"/>
      <c r="CF71" s="422"/>
      <c r="CG71" s="422"/>
      <c r="CH71" s="422"/>
      <c r="CI71" s="422"/>
      <c r="CJ71" s="422"/>
      <c r="CK71" s="422"/>
      <c r="CL71" s="422"/>
      <c r="CM71" s="422"/>
      <c r="CN71" s="422"/>
      <c r="CO71" s="422"/>
      <c r="CP71" s="422"/>
      <c r="CQ71" s="422"/>
      <c r="CR71" s="422"/>
      <c r="CS71" s="422"/>
      <c r="CT71" s="422"/>
      <c r="CU71" s="422"/>
      <c r="CV71" s="422"/>
      <c r="CW71" s="422"/>
      <c r="CX71" s="422"/>
      <c r="CY71" s="422"/>
      <c r="CZ71" s="422"/>
      <c r="DA71" s="422"/>
      <c r="DB71" s="422"/>
      <c r="DC71" s="422"/>
      <c r="DD71" s="422"/>
      <c r="DE71" s="422"/>
      <c r="DF71" s="422"/>
      <c r="DG71" s="422"/>
      <c r="DH71" s="422"/>
      <c r="DI71" s="422"/>
      <c r="DJ71" s="422"/>
      <c r="DK71" s="422"/>
      <c r="DL71" s="422"/>
      <c r="DM71" s="422"/>
      <c r="DN71" s="422"/>
      <c r="DO71" s="422"/>
      <c r="DP71" s="422"/>
      <c r="DQ71" s="422"/>
      <c r="DR71" s="422"/>
      <c r="DS71" s="422"/>
      <c r="DT71" s="422"/>
      <c r="DU71" s="422"/>
      <c r="DV71" s="422"/>
      <c r="DW71" s="422"/>
      <c r="DX71" s="422"/>
      <c r="DY71" s="422"/>
      <c r="DZ71" s="422"/>
      <c r="EA71" s="422"/>
      <c r="EB71" s="422"/>
      <c r="EC71" s="422"/>
      <c r="ED71" s="422"/>
      <c r="EE71" s="422"/>
      <c r="EF71" s="422"/>
      <c r="EG71" s="422"/>
      <c r="EH71" s="422"/>
      <c r="EI71" s="422"/>
      <c r="EJ71" s="422"/>
      <c r="EK71" s="422"/>
      <c r="EL71" s="422"/>
      <c r="EM71" s="422"/>
      <c r="EN71" s="422"/>
      <c r="EO71" s="422"/>
      <c r="EP71" s="422"/>
      <c r="EQ71" s="422"/>
      <c r="ER71" s="422"/>
      <c r="ES71" s="422"/>
      <c r="ET71" s="422"/>
      <c r="EU71" s="422"/>
      <c r="EV71" s="422"/>
      <c r="EW71" s="422"/>
      <c r="EX71" s="422"/>
      <c r="EY71" s="422"/>
      <c r="EZ71" s="422"/>
      <c r="FA71" s="422"/>
      <c r="FB71" s="422"/>
      <c r="FC71" s="422"/>
      <c r="FD71" s="422"/>
      <c r="FE71" s="422"/>
      <c r="FF71" s="422"/>
      <c r="FG71" s="422"/>
      <c r="FH71" s="422"/>
      <c r="FI71" s="422"/>
      <c r="FJ71" s="422"/>
      <c r="FK71" s="422"/>
      <c r="FL71" s="422"/>
      <c r="FM71" s="422"/>
      <c r="FN71" s="422"/>
      <c r="FO71" s="422"/>
      <c r="FP71" s="422"/>
      <c r="FQ71" s="422"/>
      <c r="FR71" s="422"/>
      <c r="FS71" s="422"/>
      <c r="FT71" s="422"/>
      <c r="FU71" s="422"/>
      <c r="FV71" s="422"/>
      <c r="FW71" s="422"/>
      <c r="FX71" s="422"/>
      <c r="FY71" s="422"/>
      <c r="FZ71" s="422"/>
      <c r="GA71" s="422"/>
      <c r="GB71" s="422"/>
      <c r="GC71" s="422"/>
      <c r="GD71" s="422"/>
      <c r="GE71" s="422"/>
      <c r="GF71" s="422"/>
      <c r="GG71" s="422"/>
      <c r="GH71" s="422"/>
      <c r="GI71" s="422"/>
      <c r="GJ71" s="422"/>
      <c r="GK71" s="422"/>
      <c r="GL71" s="422"/>
      <c r="GM71" s="422"/>
      <c r="GN71" s="422"/>
      <c r="GO71" s="422"/>
      <c r="GP71" s="422"/>
      <c r="GQ71" s="422"/>
      <c r="GR71" s="422"/>
      <c r="GS71" s="422"/>
      <c r="GT71" s="422"/>
      <c r="GU71" s="422"/>
      <c r="GV71" s="422"/>
      <c r="GW71" s="422"/>
      <c r="GX71" s="422"/>
      <c r="GY71" s="422"/>
      <c r="GZ71" s="422"/>
      <c r="HA71" s="422"/>
      <c r="HB71" s="422"/>
      <c r="HC71" s="422"/>
      <c r="HD71" s="422"/>
      <c r="HE71" s="422"/>
      <c r="HF71" s="422"/>
      <c r="HG71" s="422"/>
      <c r="HH71" s="422"/>
      <c r="HI71" s="422"/>
      <c r="HJ71" s="422"/>
      <c r="HK71" s="422"/>
      <c r="HL71" s="422"/>
      <c r="HM71" s="422"/>
      <c r="HN71" s="422"/>
      <c r="HO71" s="422"/>
      <c r="HP71" s="422"/>
      <c r="HQ71" s="422"/>
      <c r="HR71" s="422"/>
      <c r="HS71" s="422"/>
      <c r="HT71" s="422"/>
      <c r="HU71" s="422"/>
      <c r="HV71" s="422"/>
      <c r="HW71" s="422"/>
      <c r="HX71" s="422"/>
      <c r="HY71" s="422"/>
      <c r="HZ71" s="422"/>
    </row>
    <row r="72" spans="1:234" s="32" customFormat="1" x14ac:dyDescent="0.25">
      <c r="A72" s="52" t="str">
        <f>IF(COUNTBLANK(B72)=1," ",COUNTA($B$12:B72))</f>
        <v xml:space="preserve"> </v>
      </c>
      <c r="B72" s="268"/>
      <c r="C72" s="289" t="s">
        <v>429</v>
      </c>
      <c r="D72" s="300" t="s">
        <v>26</v>
      </c>
      <c r="E72" s="290">
        <f>ROUNDUP(E71*F72,2)</f>
        <v>0.08</v>
      </c>
      <c r="F72" s="291">
        <v>0.15</v>
      </c>
      <c r="G72" s="136"/>
      <c r="H72" s="136"/>
      <c r="I72" s="136"/>
      <c r="J72" s="136"/>
      <c r="K72" s="136"/>
      <c r="L72" s="315"/>
      <c r="M72" s="315"/>
      <c r="N72" s="315"/>
      <c r="O72" s="315"/>
      <c r="P72" s="315"/>
      <c r="Q72" s="315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2"/>
      <c r="AJ72" s="422"/>
      <c r="AK72" s="422"/>
      <c r="AL72" s="422"/>
      <c r="AM72" s="422"/>
      <c r="AN72" s="422"/>
      <c r="AO72" s="422"/>
      <c r="AP72" s="422"/>
      <c r="AQ72" s="422"/>
      <c r="AR72" s="422"/>
      <c r="AS72" s="422"/>
      <c r="AT72" s="422"/>
      <c r="AU72" s="422"/>
      <c r="AV72" s="422"/>
      <c r="AW72" s="422"/>
      <c r="AX72" s="422"/>
      <c r="AY72" s="422"/>
      <c r="AZ72" s="422"/>
      <c r="BA72" s="422"/>
      <c r="BB72" s="422"/>
      <c r="BC72" s="422"/>
      <c r="BD72" s="422"/>
      <c r="BE72" s="422"/>
      <c r="BF72" s="422"/>
      <c r="BG72" s="422"/>
      <c r="BH72" s="422"/>
      <c r="BI72" s="422"/>
      <c r="BJ72" s="422"/>
      <c r="BK72" s="422"/>
      <c r="BL72" s="422"/>
      <c r="BM72" s="422"/>
      <c r="BN72" s="422"/>
      <c r="BO72" s="422"/>
      <c r="BP72" s="422"/>
      <c r="BQ72" s="422"/>
      <c r="BR72" s="422"/>
      <c r="BS72" s="422"/>
      <c r="BT72" s="422"/>
      <c r="BU72" s="422"/>
      <c r="BV72" s="422"/>
      <c r="BW72" s="422"/>
      <c r="BX72" s="422"/>
      <c r="BY72" s="422"/>
      <c r="BZ72" s="422"/>
      <c r="CA72" s="422"/>
      <c r="CB72" s="422"/>
      <c r="CC72" s="422"/>
      <c r="CD72" s="422"/>
      <c r="CE72" s="422"/>
      <c r="CF72" s="422"/>
      <c r="CG72" s="422"/>
      <c r="CH72" s="422"/>
      <c r="CI72" s="422"/>
      <c r="CJ72" s="422"/>
      <c r="CK72" s="422"/>
      <c r="CL72" s="422"/>
      <c r="CM72" s="422"/>
      <c r="CN72" s="422"/>
      <c r="CO72" s="422"/>
      <c r="CP72" s="422"/>
      <c r="CQ72" s="422"/>
      <c r="CR72" s="422"/>
      <c r="CS72" s="422"/>
      <c r="CT72" s="422"/>
      <c r="CU72" s="422"/>
      <c r="CV72" s="422"/>
      <c r="CW72" s="422"/>
      <c r="CX72" s="422"/>
      <c r="CY72" s="422"/>
      <c r="CZ72" s="422"/>
      <c r="DA72" s="422"/>
      <c r="DB72" s="422"/>
      <c r="DC72" s="422"/>
      <c r="DD72" s="422"/>
      <c r="DE72" s="422"/>
      <c r="DF72" s="422"/>
      <c r="DG72" s="422"/>
      <c r="DH72" s="422"/>
      <c r="DI72" s="422"/>
      <c r="DJ72" s="422"/>
      <c r="DK72" s="422"/>
      <c r="DL72" s="422"/>
      <c r="DM72" s="422"/>
      <c r="DN72" s="422"/>
      <c r="DO72" s="422"/>
      <c r="DP72" s="422"/>
      <c r="DQ72" s="422"/>
      <c r="DR72" s="422"/>
      <c r="DS72" s="422"/>
      <c r="DT72" s="422"/>
      <c r="DU72" s="422"/>
      <c r="DV72" s="422"/>
      <c r="DW72" s="422"/>
      <c r="DX72" s="422"/>
      <c r="DY72" s="422"/>
      <c r="DZ72" s="422"/>
      <c r="EA72" s="422"/>
      <c r="EB72" s="422"/>
      <c r="EC72" s="422"/>
      <c r="ED72" s="422"/>
      <c r="EE72" s="422"/>
      <c r="EF72" s="422"/>
      <c r="EG72" s="422"/>
      <c r="EH72" s="422"/>
      <c r="EI72" s="422"/>
      <c r="EJ72" s="422"/>
      <c r="EK72" s="422"/>
      <c r="EL72" s="422"/>
      <c r="EM72" s="422"/>
      <c r="EN72" s="422"/>
      <c r="EO72" s="422"/>
      <c r="EP72" s="422"/>
      <c r="EQ72" s="422"/>
      <c r="ER72" s="422"/>
      <c r="ES72" s="422"/>
      <c r="ET72" s="422"/>
      <c r="EU72" s="422"/>
      <c r="EV72" s="422"/>
      <c r="EW72" s="422"/>
      <c r="EX72" s="422"/>
      <c r="EY72" s="422"/>
      <c r="EZ72" s="422"/>
      <c r="FA72" s="422"/>
      <c r="FB72" s="422"/>
      <c r="FC72" s="422"/>
      <c r="FD72" s="422"/>
      <c r="FE72" s="422"/>
      <c r="FF72" s="422"/>
      <c r="FG72" s="422"/>
      <c r="FH72" s="422"/>
      <c r="FI72" s="422"/>
      <c r="FJ72" s="422"/>
      <c r="FK72" s="422"/>
      <c r="FL72" s="422"/>
      <c r="FM72" s="422"/>
      <c r="FN72" s="422"/>
      <c r="FO72" s="422"/>
      <c r="FP72" s="422"/>
      <c r="FQ72" s="422"/>
      <c r="FR72" s="422"/>
      <c r="FS72" s="422"/>
      <c r="FT72" s="422"/>
      <c r="FU72" s="422"/>
      <c r="FV72" s="422"/>
      <c r="FW72" s="422"/>
      <c r="FX72" s="422"/>
      <c r="FY72" s="422"/>
      <c r="FZ72" s="422"/>
      <c r="GA72" s="422"/>
      <c r="GB72" s="422"/>
      <c r="GC72" s="422"/>
      <c r="GD72" s="422"/>
      <c r="GE72" s="422"/>
      <c r="GF72" s="422"/>
      <c r="GG72" s="422"/>
      <c r="GH72" s="422"/>
      <c r="GI72" s="422"/>
      <c r="GJ72" s="422"/>
      <c r="GK72" s="422"/>
      <c r="GL72" s="422"/>
      <c r="GM72" s="422"/>
      <c r="GN72" s="422"/>
      <c r="GO72" s="422"/>
      <c r="GP72" s="422"/>
      <c r="GQ72" s="422"/>
      <c r="GR72" s="422"/>
      <c r="GS72" s="422"/>
      <c r="GT72" s="422"/>
      <c r="GU72" s="422"/>
      <c r="GV72" s="422"/>
      <c r="GW72" s="422"/>
      <c r="GX72" s="422"/>
      <c r="GY72" s="422"/>
      <c r="GZ72" s="422"/>
      <c r="HA72" s="422"/>
      <c r="HB72" s="422"/>
      <c r="HC72" s="422"/>
      <c r="HD72" s="422"/>
      <c r="HE72" s="422"/>
      <c r="HF72" s="422"/>
      <c r="HG72" s="422"/>
      <c r="HH72" s="422"/>
      <c r="HI72" s="422"/>
      <c r="HJ72" s="422"/>
      <c r="HK72" s="422"/>
      <c r="HL72" s="422"/>
      <c r="HM72" s="422"/>
      <c r="HN72" s="422"/>
      <c r="HO72" s="422"/>
      <c r="HP72" s="422"/>
      <c r="HQ72" s="422"/>
      <c r="HR72" s="422"/>
      <c r="HS72" s="422"/>
      <c r="HT72" s="422"/>
      <c r="HU72" s="422"/>
      <c r="HV72" s="422"/>
      <c r="HW72" s="422"/>
      <c r="HX72" s="422"/>
      <c r="HY72" s="422"/>
      <c r="HZ72" s="422"/>
    </row>
    <row r="73" spans="1:234" s="32" customFormat="1" x14ac:dyDescent="0.25">
      <c r="A73" s="52" t="str">
        <f>IF(COUNTBLANK(B73)=1," ",COUNTA($B$12:B73))</f>
        <v xml:space="preserve"> </v>
      </c>
      <c r="B73" s="268"/>
      <c r="C73" s="289" t="s">
        <v>430</v>
      </c>
      <c r="D73" s="300" t="s">
        <v>26</v>
      </c>
      <c r="E73" s="290">
        <f>ROUNDUP(E71*F73,2)</f>
        <v>0.47000000000000003</v>
      </c>
      <c r="F73" s="291">
        <v>0.93</v>
      </c>
      <c r="G73" s="136"/>
      <c r="H73" s="136"/>
      <c r="I73" s="136"/>
      <c r="J73" s="136"/>
      <c r="K73" s="136"/>
      <c r="L73" s="315"/>
      <c r="M73" s="315"/>
      <c r="N73" s="315"/>
      <c r="O73" s="315"/>
      <c r="P73" s="315"/>
      <c r="Q73" s="315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4"/>
      <c r="AN73" s="424"/>
      <c r="AO73" s="424"/>
      <c r="AP73" s="424"/>
      <c r="AQ73" s="424"/>
      <c r="AR73" s="424"/>
      <c r="AS73" s="424"/>
      <c r="AT73" s="424"/>
      <c r="AU73" s="424"/>
      <c r="AV73" s="424"/>
      <c r="AW73" s="424"/>
      <c r="AX73" s="424"/>
      <c r="AY73" s="424"/>
      <c r="AZ73" s="424"/>
      <c r="BA73" s="424"/>
      <c r="BB73" s="424"/>
      <c r="BC73" s="424"/>
      <c r="BD73" s="424"/>
      <c r="BE73" s="424"/>
      <c r="BF73" s="424"/>
      <c r="BG73" s="424"/>
      <c r="BH73" s="424"/>
      <c r="BI73" s="424"/>
      <c r="BJ73" s="424"/>
      <c r="BK73" s="424"/>
      <c r="BL73" s="424"/>
      <c r="BM73" s="424"/>
      <c r="BN73" s="424"/>
      <c r="BO73" s="424"/>
      <c r="BP73" s="424"/>
      <c r="BQ73" s="424"/>
      <c r="BR73" s="424"/>
      <c r="BS73" s="424"/>
      <c r="BT73" s="424"/>
      <c r="BU73" s="424"/>
      <c r="BV73" s="424"/>
      <c r="BW73" s="424"/>
      <c r="BX73" s="424"/>
      <c r="BY73" s="424"/>
      <c r="BZ73" s="424"/>
      <c r="CA73" s="424"/>
      <c r="CB73" s="424"/>
      <c r="CC73" s="424"/>
      <c r="CD73" s="424"/>
      <c r="CE73" s="424"/>
      <c r="CF73" s="424"/>
      <c r="CG73" s="424"/>
      <c r="CH73" s="424"/>
      <c r="CI73" s="424"/>
      <c r="CJ73" s="424"/>
      <c r="CK73" s="424"/>
      <c r="CL73" s="424"/>
      <c r="CM73" s="424"/>
      <c r="CN73" s="424"/>
      <c r="CO73" s="424"/>
      <c r="CP73" s="424"/>
      <c r="CQ73" s="424"/>
      <c r="CR73" s="424"/>
      <c r="CS73" s="424"/>
      <c r="CT73" s="424"/>
      <c r="CU73" s="424"/>
      <c r="CV73" s="424"/>
      <c r="CW73" s="424"/>
      <c r="CX73" s="424"/>
      <c r="CY73" s="424"/>
      <c r="CZ73" s="424"/>
      <c r="DA73" s="424"/>
      <c r="DB73" s="424"/>
      <c r="DC73" s="424"/>
      <c r="DD73" s="424"/>
      <c r="DE73" s="424"/>
      <c r="DF73" s="424"/>
      <c r="DG73" s="424"/>
      <c r="DH73" s="424"/>
      <c r="DI73" s="424"/>
      <c r="DJ73" s="424"/>
      <c r="DK73" s="424"/>
      <c r="DL73" s="424"/>
      <c r="DM73" s="424"/>
      <c r="DN73" s="424"/>
      <c r="DO73" s="424"/>
      <c r="DP73" s="424"/>
      <c r="DQ73" s="424"/>
      <c r="DR73" s="424"/>
      <c r="DS73" s="424"/>
      <c r="DT73" s="424"/>
      <c r="DU73" s="424"/>
      <c r="DV73" s="424"/>
      <c r="DW73" s="424"/>
      <c r="DX73" s="424"/>
      <c r="DY73" s="424"/>
      <c r="DZ73" s="424"/>
      <c r="EA73" s="424"/>
      <c r="EB73" s="424"/>
      <c r="EC73" s="424"/>
      <c r="ED73" s="424"/>
      <c r="EE73" s="424"/>
      <c r="EF73" s="424"/>
      <c r="EG73" s="424"/>
      <c r="EH73" s="424"/>
      <c r="EI73" s="424"/>
      <c r="EJ73" s="424"/>
      <c r="EK73" s="424"/>
      <c r="EL73" s="424"/>
      <c r="EM73" s="424"/>
      <c r="EN73" s="424"/>
      <c r="EO73" s="424"/>
      <c r="EP73" s="424"/>
      <c r="EQ73" s="424"/>
      <c r="ER73" s="424"/>
      <c r="ES73" s="424"/>
      <c r="ET73" s="424"/>
      <c r="EU73" s="424"/>
      <c r="EV73" s="424"/>
      <c r="EW73" s="424"/>
      <c r="EX73" s="424"/>
      <c r="EY73" s="424"/>
      <c r="EZ73" s="424"/>
      <c r="FA73" s="424"/>
      <c r="FB73" s="424"/>
      <c r="FC73" s="424"/>
      <c r="FD73" s="424"/>
      <c r="FE73" s="424"/>
      <c r="FF73" s="424"/>
      <c r="FG73" s="424"/>
      <c r="FH73" s="424"/>
      <c r="FI73" s="424"/>
      <c r="FJ73" s="424"/>
      <c r="FK73" s="424"/>
      <c r="FL73" s="424"/>
      <c r="FM73" s="424"/>
      <c r="FN73" s="424"/>
      <c r="FO73" s="424"/>
      <c r="FP73" s="424"/>
      <c r="FQ73" s="424"/>
      <c r="FR73" s="424"/>
      <c r="FS73" s="424"/>
      <c r="FT73" s="424"/>
      <c r="FU73" s="424"/>
      <c r="FV73" s="424"/>
      <c r="FW73" s="424"/>
      <c r="FX73" s="424"/>
      <c r="FY73" s="424"/>
      <c r="FZ73" s="424"/>
      <c r="GA73" s="424"/>
      <c r="GB73" s="424"/>
      <c r="GC73" s="424"/>
      <c r="GD73" s="424"/>
      <c r="GE73" s="424"/>
      <c r="GF73" s="424"/>
      <c r="GG73" s="424"/>
      <c r="GH73" s="424"/>
      <c r="GI73" s="424"/>
      <c r="GJ73" s="424"/>
      <c r="GK73" s="424"/>
      <c r="GL73" s="424"/>
      <c r="GM73" s="424"/>
      <c r="GN73" s="424"/>
      <c r="GO73" s="424"/>
      <c r="GP73" s="424"/>
      <c r="GQ73" s="424"/>
      <c r="GR73" s="424"/>
      <c r="GS73" s="424"/>
      <c r="GT73" s="424"/>
      <c r="GU73" s="424"/>
      <c r="GV73" s="424"/>
      <c r="GW73" s="424"/>
      <c r="GX73" s="424"/>
      <c r="GY73" s="424"/>
      <c r="GZ73" s="424"/>
      <c r="HA73" s="424"/>
      <c r="HB73" s="424"/>
      <c r="HC73" s="424"/>
      <c r="HD73" s="424"/>
      <c r="HE73" s="424"/>
      <c r="HF73" s="424"/>
      <c r="HG73" s="424"/>
      <c r="HH73" s="424"/>
      <c r="HI73" s="424"/>
      <c r="HJ73" s="424"/>
      <c r="HK73" s="424"/>
      <c r="HL73" s="424"/>
      <c r="HM73" s="424"/>
      <c r="HN73" s="424"/>
      <c r="HO73" s="424"/>
      <c r="HP73" s="424"/>
      <c r="HQ73" s="424"/>
      <c r="HR73" s="424"/>
      <c r="HS73" s="424"/>
      <c r="HT73" s="424"/>
      <c r="HU73" s="424"/>
      <c r="HV73" s="424"/>
      <c r="HW73" s="424"/>
      <c r="HX73" s="424"/>
      <c r="HY73" s="424"/>
      <c r="HZ73" s="424"/>
    </row>
    <row r="74" spans="1:234" s="32" customFormat="1" x14ac:dyDescent="0.25">
      <c r="A74" s="52" t="str">
        <f>IF(COUNTBLANK(B74)=1," ",COUNTA($B$12:B74))</f>
        <v xml:space="preserve"> </v>
      </c>
      <c r="B74" s="268"/>
      <c r="C74" s="289" t="s">
        <v>38</v>
      </c>
      <c r="D74" s="268" t="s">
        <v>211</v>
      </c>
      <c r="E74" s="290">
        <f>ROUNDUP(E71*F74,0)</f>
        <v>1</v>
      </c>
      <c r="F74" s="291">
        <v>0.25</v>
      </c>
      <c r="G74" s="136"/>
      <c r="H74" s="136"/>
      <c r="I74" s="136"/>
      <c r="J74" s="136"/>
      <c r="K74" s="136"/>
      <c r="L74" s="315"/>
      <c r="M74" s="315"/>
      <c r="N74" s="315"/>
      <c r="O74" s="315"/>
      <c r="P74" s="315"/>
      <c r="Q74" s="315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6"/>
      <c r="BI74" s="246"/>
      <c r="BJ74" s="246"/>
      <c r="BK74" s="246"/>
      <c r="BL74" s="246"/>
      <c r="BM74" s="246"/>
      <c r="BN74" s="246"/>
      <c r="BO74" s="246"/>
      <c r="BP74" s="246"/>
      <c r="BQ74" s="246"/>
      <c r="BR74" s="246"/>
      <c r="BS74" s="246"/>
      <c r="BT74" s="246"/>
      <c r="BU74" s="246"/>
      <c r="BV74" s="246"/>
      <c r="BW74" s="246"/>
      <c r="BX74" s="246"/>
      <c r="BY74" s="246"/>
      <c r="BZ74" s="246"/>
      <c r="CA74" s="246"/>
      <c r="CB74" s="246"/>
      <c r="CC74" s="246"/>
      <c r="CD74" s="246"/>
      <c r="CE74" s="246"/>
      <c r="CF74" s="246"/>
      <c r="CG74" s="246"/>
      <c r="CH74" s="246"/>
      <c r="CI74" s="246"/>
      <c r="CJ74" s="246"/>
      <c r="CK74" s="246"/>
      <c r="CL74" s="246"/>
      <c r="CM74" s="246"/>
      <c r="CN74" s="246"/>
      <c r="CO74" s="246"/>
      <c r="CP74" s="246"/>
      <c r="CQ74" s="246"/>
      <c r="CR74" s="246"/>
      <c r="CS74" s="246"/>
      <c r="CT74" s="246"/>
      <c r="CU74" s="246"/>
      <c r="CV74" s="246"/>
      <c r="CW74" s="246"/>
      <c r="CX74" s="246"/>
      <c r="CY74" s="246"/>
      <c r="CZ74" s="246"/>
      <c r="DA74" s="246"/>
      <c r="DB74" s="246"/>
      <c r="DC74" s="246"/>
      <c r="DD74" s="246"/>
      <c r="DE74" s="246"/>
      <c r="DF74" s="246"/>
      <c r="DG74" s="246"/>
      <c r="DH74" s="246"/>
      <c r="DI74" s="246"/>
      <c r="DJ74" s="246"/>
      <c r="DK74" s="246"/>
      <c r="DL74" s="246"/>
      <c r="DM74" s="246"/>
      <c r="DN74" s="246"/>
      <c r="DO74" s="246"/>
      <c r="DP74" s="246"/>
      <c r="DQ74" s="246"/>
      <c r="DR74" s="246"/>
      <c r="DS74" s="246"/>
      <c r="DT74" s="246"/>
      <c r="DU74" s="246"/>
      <c r="DV74" s="246"/>
      <c r="DW74" s="246"/>
      <c r="DX74" s="246"/>
      <c r="DY74" s="246"/>
      <c r="DZ74" s="246"/>
      <c r="EA74" s="246"/>
      <c r="EB74" s="246"/>
      <c r="EC74" s="246"/>
      <c r="ED74" s="246"/>
      <c r="EE74" s="246"/>
      <c r="EF74" s="246"/>
      <c r="EG74" s="246"/>
      <c r="EH74" s="246"/>
      <c r="EI74" s="246"/>
      <c r="EJ74" s="246"/>
      <c r="EK74" s="246"/>
      <c r="EL74" s="246"/>
      <c r="EM74" s="246"/>
      <c r="EN74" s="246"/>
      <c r="EO74" s="246"/>
      <c r="EP74" s="246"/>
      <c r="EQ74" s="246"/>
      <c r="ER74" s="246"/>
      <c r="ES74" s="246"/>
      <c r="ET74" s="246"/>
      <c r="EU74" s="246"/>
      <c r="EV74" s="246"/>
      <c r="EW74" s="246"/>
      <c r="EX74" s="246"/>
      <c r="EY74" s="246"/>
      <c r="EZ74" s="246"/>
      <c r="FA74" s="246"/>
      <c r="FB74" s="246"/>
      <c r="FC74" s="246"/>
      <c r="FD74" s="246"/>
      <c r="FE74" s="246"/>
      <c r="FF74" s="246"/>
      <c r="FG74" s="246"/>
      <c r="FH74" s="246"/>
      <c r="FI74" s="246"/>
      <c r="FJ74" s="246"/>
      <c r="FK74" s="246"/>
      <c r="FL74" s="246"/>
      <c r="FM74" s="246"/>
      <c r="FN74" s="246"/>
      <c r="FO74" s="246"/>
      <c r="FP74" s="246"/>
      <c r="FQ74" s="246"/>
      <c r="FR74" s="246"/>
      <c r="FS74" s="246"/>
      <c r="FT74" s="246"/>
      <c r="FU74" s="246"/>
      <c r="FV74" s="246"/>
      <c r="FW74" s="246"/>
      <c r="FX74" s="246"/>
      <c r="FY74" s="246"/>
      <c r="FZ74" s="246"/>
      <c r="GA74" s="246"/>
      <c r="GB74" s="246"/>
      <c r="GC74" s="246"/>
      <c r="GD74" s="246"/>
      <c r="GE74" s="246"/>
      <c r="GF74" s="246"/>
      <c r="GG74" s="246"/>
      <c r="GH74" s="246"/>
      <c r="GI74" s="246"/>
      <c r="GJ74" s="246"/>
      <c r="GK74" s="246"/>
      <c r="GL74" s="246"/>
      <c r="GM74" s="246"/>
      <c r="GN74" s="246"/>
      <c r="GO74" s="246"/>
      <c r="GP74" s="246"/>
      <c r="GQ74" s="246"/>
      <c r="GR74" s="246"/>
      <c r="GS74" s="246"/>
      <c r="GT74" s="246"/>
      <c r="GU74" s="246"/>
      <c r="GV74" s="246"/>
      <c r="GW74" s="246"/>
      <c r="GX74" s="246"/>
      <c r="GY74" s="246"/>
      <c r="GZ74" s="246"/>
      <c r="HA74" s="246"/>
      <c r="HB74" s="246"/>
      <c r="HC74" s="246"/>
      <c r="HD74" s="246"/>
      <c r="HE74" s="246"/>
      <c r="HF74" s="246"/>
      <c r="HG74" s="246"/>
      <c r="HH74" s="246"/>
      <c r="HI74" s="246"/>
      <c r="HJ74" s="246"/>
      <c r="HK74" s="246"/>
      <c r="HL74" s="246"/>
      <c r="HM74" s="246"/>
      <c r="HN74" s="246"/>
      <c r="HO74" s="246"/>
      <c r="HP74" s="246"/>
      <c r="HQ74" s="246"/>
      <c r="HR74" s="246"/>
      <c r="HS74" s="246"/>
      <c r="HT74" s="246"/>
      <c r="HU74" s="246"/>
      <c r="HV74" s="246"/>
      <c r="HW74" s="246"/>
      <c r="HX74" s="246"/>
      <c r="HY74" s="246"/>
      <c r="HZ74" s="246"/>
    </row>
    <row r="75" spans="1:234" ht="22.5" x14ac:dyDescent="0.25">
      <c r="A75" s="52">
        <f>IF(COUNTBLANK(B75)=1," ",COUNTA($B$12:B75))</f>
        <v>33</v>
      </c>
      <c r="B75" s="9" t="s">
        <v>14</v>
      </c>
      <c r="C75" s="54" t="s">
        <v>347</v>
      </c>
      <c r="D75" s="676" t="s">
        <v>32</v>
      </c>
      <c r="E75" s="638">
        <v>24</v>
      </c>
      <c r="F75" s="57"/>
      <c r="G75" s="229"/>
      <c r="H75" s="446"/>
      <c r="I75" s="229"/>
      <c r="J75" s="229"/>
      <c r="K75" s="229"/>
      <c r="L75" s="315"/>
      <c r="M75" s="315"/>
      <c r="N75" s="315"/>
      <c r="O75" s="315"/>
      <c r="P75" s="315"/>
      <c r="Q75" s="315"/>
    </row>
    <row r="76" spans="1:234" x14ac:dyDescent="0.25">
      <c r="A76" s="52" t="str">
        <f>IF(COUNTBLANK(B76)=1," ",COUNTA($B$12:B76))</f>
        <v xml:space="preserve"> </v>
      </c>
      <c r="B76" s="377"/>
      <c r="C76" s="54" t="s">
        <v>348</v>
      </c>
      <c r="D76" s="676" t="s">
        <v>32</v>
      </c>
      <c r="E76" s="638">
        <v>48</v>
      </c>
      <c r="F76" s="57"/>
      <c r="G76" s="34"/>
      <c r="H76" s="271"/>
      <c r="I76" s="34"/>
      <c r="J76" s="34"/>
      <c r="K76" s="34"/>
      <c r="L76" s="315"/>
      <c r="M76" s="315"/>
      <c r="N76" s="315"/>
      <c r="O76" s="315"/>
      <c r="P76" s="315"/>
      <c r="Q76" s="315"/>
    </row>
    <row r="77" spans="1:234" ht="22.5" x14ac:dyDescent="0.25">
      <c r="A77" s="52"/>
      <c r="B77" s="377"/>
      <c r="C77" s="54" t="s">
        <v>729</v>
      </c>
      <c r="D77" s="676" t="s">
        <v>26</v>
      </c>
      <c r="E77" s="681">
        <v>0.12</v>
      </c>
      <c r="F77" s="57"/>
      <c r="G77" s="34"/>
      <c r="H77" s="446"/>
      <c r="I77" s="34"/>
      <c r="J77" s="34"/>
      <c r="K77" s="34"/>
      <c r="L77" s="315"/>
      <c r="M77" s="315"/>
      <c r="N77" s="315"/>
      <c r="O77" s="315"/>
      <c r="P77" s="315"/>
      <c r="Q77" s="315"/>
    </row>
    <row r="78" spans="1:234" x14ac:dyDescent="0.25">
      <c r="A78" s="52"/>
      <c r="B78" s="377"/>
      <c r="C78" s="54" t="s">
        <v>730</v>
      </c>
      <c r="D78" s="676" t="s">
        <v>32</v>
      </c>
      <c r="E78" s="638">
        <v>8</v>
      </c>
      <c r="F78" s="57"/>
      <c r="G78" s="34"/>
      <c r="H78" s="446"/>
      <c r="I78" s="34"/>
      <c r="J78" s="34"/>
      <c r="K78" s="34"/>
      <c r="L78" s="315"/>
      <c r="M78" s="315"/>
      <c r="N78" s="315"/>
      <c r="O78" s="315"/>
      <c r="P78" s="315"/>
      <c r="Q78" s="315"/>
    </row>
    <row r="79" spans="1:234" x14ac:dyDescent="0.25">
      <c r="A79" s="52"/>
      <c r="B79" s="377"/>
      <c r="C79" s="54" t="s">
        <v>731</v>
      </c>
      <c r="D79" s="676" t="s">
        <v>32</v>
      </c>
      <c r="E79" s="638">
        <v>4</v>
      </c>
      <c r="F79" s="57"/>
      <c r="G79" s="34"/>
      <c r="H79" s="446"/>
      <c r="I79" s="34"/>
      <c r="J79" s="34"/>
      <c r="K79" s="34"/>
      <c r="L79" s="315"/>
      <c r="M79" s="315"/>
      <c r="N79" s="315"/>
      <c r="O79" s="315"/>
      <c r="P79" s="315"/>
      <c r="Q79" s="315"/>
    </row>
    <row r="80" spans="1:234" ht="22.5" x14ac:dyDescent="0.25">
      <c r="A80" s="52">
        <f>IF(COUNTBLANK(B80)=1," ",COUNTA($B$12:B80))</f>
        <v>34</v>
      </c>
      <c r="B80" s="9" t="s">
        <v>14</v>
      </c>
      <c r="C80" s="54" t="s">
        <v>837</v>
      </c>
      <c r="D80" s="676" t="s">
        <v>26</v>
      </c>
      <c r="E80" s="673">
        <f>0.2*7</f>
        <v>1.4000000000000001</v>
      </c>
      <c r="F80" s="57"/>
      <c r="G80" s="312"/>
      <c r="H80" s="446"/>
      <c r="I80" s="312"/>
      <c r="J80" s="312"/>
      <c r="K80" s="312"/>
      <c r="L80" s="315"/>
      <c r="M80" s="315"/>
      <c r="N80" s="315"/>
      <c r="O80" s="315"/>
      <c r="P80" s="315"/>
      <c r="Q80" s="315"/>
    </row>
    <row r="81" spans="1:18" ht="22.5" x14ac:dyDescent="0.25">
      <c r="A81" s="52">
        <f>IF(COUNTBLANK(B81)=1," ",COUNTA($B$12:B81))</f>
        <v>35</v>
      </c>
      <c r="B81" s="9" t="s">
        <v>14</v>
      </c>
      <c r="C81" s="54" t="s">
        <v>894</v>
      </c>
      <c r="D81" s="676" t="s">
        <v>26</v>
      </c>
      <c r="E81" s="673">
        <f>0.2*0.2*4</f>
        <v>0.16000000000000003</v>
      </c>
      <c r="F81" s="57"/>
      <c r="G81" s="312"/>
      <c r="H81" s="446"/>
      <c r="I81" s="312"/>
      <c r="J81" s="312"/>
      <c r="K81" s="312"/>
      <c r="L81" s="315"/>
      <c r="M81" s="315"/>
      <c r="N81" s="315"/>
      <c r="O81" s="315"/>
      <c r="P81" s="315"/>
      <c r="Q81" s="315"/>
    </row>
    <row r="82" spans="1:18" x14ac:dyDescent="0.25">
      <c r="A82" s="52"/>
      <c r="B82" s="9"/>
      <c r="C82" s="54" t="s">
        <v>735</v>
      </c>
      <c r="D82" s="743" t="s">
        <v>17</v>
      </c>
      <c r="E82" s="673">
        <v>19</v>
      </c>
      <c r="F82" s="57"/>
      <c r="G82" s="312"/>
      <c r="H82" s="446"/>
      <c r="I82" s="312"/>
      <c r="J82" s="312"/>
      <c r="K82" s="312"/>
      <c r="L82" s="315"/>
      <c r="M82" s="315"/>
      <c r="N82" s="315"/>
      <c r="O82" s="315"/>
      <c r="P82" s="315"/>
      <c r="Q82" s="315"/>
    </row>
    <row r="83" spans="1:18" s="94" customFormat="1" x14ac:dyDescent="0.25">
      <c r="A83" s="52">
        <f>IF(COUNTBLANK(B83)=1," ",COUNTA($B$12:B83))</f>
        <v>36</v>
      </c>
      <c r="B83" s="9" t="s">
        <v>14</v>
      </c>
      <c r="C83" s="14" t="s">
        <v>732</v>
      </c>
      <c r="D83" s="743"/>
      <c r="E83" s="53"/>
      <c r="F83" s="445"/>
      <c r="G83" s="136"/>
      <c r="H83" s="446"/>
      <c r="I83" s="136"/>
      <c r="J83" s="58"/>
      <c r="K83" s="58"/>
      <c r="L83" s="315"/>
      <c r="M83" s="315"/>
      <c r="N83" s="315"/>
      <c r="O83" s="315"/>
      <c r="P83" s="315"/>
      <c r="Q83" s="315"/>
    </row>
    <row r="84" spans="1:18" ht="22.5" x14ac:dyDescent="0.25">
      <c r="A84" s="52" t="str">
        <f>IF(COUNTBLANK(B84)=1," ",COUNTA($B$12:B84))</f>
        <v xml:space="preserve"> </v>
      </c>
      <c r="B84" s="377"/>
      <c r="C84" s="14" t="s">
        <v>895</v>
      </c>
      <c r="D84" s="743" t="s">
        <v>17</v>
      </c>
      <c r="E84" s="673">
        <f>1.9*10</f>
        <v>19</v>
      </c>
      <c r="F84" s="60"/>
      <c r="G84" s="136"/>
      <c r="H84" s="271"/>
      <c r="I84" s="136"/>
      <c r="J84" s="310"/>
      <c r="K84" s="136"/>
      <c r="L84" s="315"/>
      <c r="M84" s="315"/>
      <c r="N84" s="315"/>
      <c r="O84" s="315"/>
      <c r="P84" s="315"/>
      <c r="Q84" s="315"/>
    </row>
    <row r="85" spans="1:18" ht="22.5" x14ac:dyDescent="0.25">
      <c r="A85" s="52" t="str">
        <f>IF(COUNTBLANK(B85)=1," ",COUNTA($B$12:B85))</f>
        <v xml:space="preserve"> </v>
      </c>
      <c r="B85" s="377"/>
      <c r="C85" s="14" t="s">
        <v>896</v>
      </c>
      <c r="D85" s="743" t="s">
        <v>17</v>
      </c>
      <c r="E85" s="673">
        <f>1.9*10</f>
        <v>19</v>
      </c>
      <c r="F85" s="60"/>
      <c r="G85" s="136"/>
      <c r="H85" s="271"/>
      <c r="I85" s="136"/>
      <c r="J85" s="310"/>
      <c r="K85" s="136"/>
      <c r="L85" s="315"/>
      <c r="M85" s="315"/>
      <c r="N85" s="315"/>
      <c r="O85" s="315"/>
      <c r="P85" s="315"/>
      <c r="Q85" s="315"/>
      <c r="R85" s="740"/>
    </row>
    <row r="86" spans="1:18" x14ac:dyDescent="0.25">
      <c r="A86" s="52" t="str">
        <f>IF(COUNTBLANK(B86)=1," ",COUNTA($B$12:B86))</f>
        <v xml:space="preserve"> </v>
      </c>
      <c r="B86" s="377"/>
      <c r="C86" s="14" t="s">
        <v>438</v>
      </c>
      <c r="D86" s="743" t="s">
        <v>439</v>
      </c>
      <c r="E86" s="53">
        <v>1</v>
      </c>
      <c r="F86" s="60"/>
      <c r="G86" s="136"/>
      <c r="H86" s="271"/>
      <c r="I86" s="136"/>
      <c r="J86" s="310"/>
      <c r="K86" s="136"/>
      <c r="L86" s="315"/>
      <c r="M86" s="315"/>
      <c r="N86" s="315"/>
      <c r="O86" s="315"/>
      <c r="P86" s="315"/>
      <c r="Q86" s="315"/>
    </row>
    <row r="87" spans="1:18" ht="22.5" x14ac:dyDescent="0.25">
      <c r="A87" s="52">
        <f>IF(COUNTBLANK(B87)=1," ",COUNTA($B$12:B87))</f>
        <v>37</v>
      </c>
      <c r="B87" s="9" t="s">
        <v>14</v>
      </c>
      <c r="C87" s="14" t="s">
        <v>349</v>
      </c>
      <c r="D87" s="743" t="s">
        <v>23</v>
      </c>
      <c r="E87" s="377">
        <v>13</v>
      </c>
      <c r="F87" s="60"/>
      <c r="G87" s="312"/>
      <c r="H87" s="446"/>
      <c r="I87" s="312"/>
      <c r="J87" s="312"/>
      <c r="K87" s="312"/>
      <c r="L87" s="315"/>
      <c r="M87" s="315"/>
      <c r="N87" s="315"/>
      <c r="O87" s="315"/>
      <c r="P87" s="315"/>
      <c r="Q87" s="315"/>
    </row>
    <row r="88" spans="1:18" x14ac:dyDescent="0.25">
      <c r="A88" s="52" t="str">
        <f>IF(COUNTBLANK(B88)=1," ",COUNTA($B$12:B88))</f>
        <v xml:space="preserve"> </v>
      </c>
      <c r="B88" s="377"/>
      <c r="C88" s="14" t="s">
        <v>350</v>
      </c>
      <c r="D88" s="743" t="s">
        <v>32</v>
      </c>
      <c r="E88" s="377">
        <v>26</v>
      </c>
      <c r="F88" s="60"/>
      <c r="G88" s="136"/>
      <c r="H88" s="271"/>
      <c r="I88" s="136"/>
      <c r="J88" s="306"/>
      <c r="K88" s="136"/>
      <c r="L88" s="315"/>
      <c r="M88" s="315"/>
      <c r="N88" s="315"/>
      <c r="O88" s="315"/>
      <c r="P88" s="315"/>
      <c r="Q88" s="315"/>
    </row>
    <row r="89" spans="1:18" s="94" customFormat="1" ht="22.5" x14ac:dyDescent="0.25">
      <c r="A89" s="52">
        <f>IF(COUNTBLANK(B89)=1," ",COUNTA($B$12:B89))</f>
        <v>38</v>
      </c>
      <c r="B89" s="9" t="s">
        <v>14</v>
      </c>
      <c r="C89" s="14" t="s">
        <v>351</v>
      </c>
      <c r="D89" s="743" t="s">
        <v>17</v>
      </c>
      <c r="E89" s="377">
        <v>6</v>
      </c>
      <c r="F89" s="136"/>
      <c r="G89" s="60"/>
      <c r="H89" s="446"/>
      <c r="I89" s="60"/>
      <c r="J89" s="15"/>
      <c r="K89" s="60"/>
      <c r="L89" s="315"/>
      <c r="M89" s="315"/>
      <c r="N89" s="315"/>
      <c r="O89" s="315"/>
      <c r="P89" s="315"/>
      <c r="Q89" s="315"/>
    </row>
    <row r="90" spans="1:18" s="94" customFormat="1" x14ac:dyDescent="0.25">
      <c r="A90" s="52" t="str">
        <f>IF(COUNTBLANK(B90)=1," ",COUNTA($B$12:B90))</f>
        <v xml:space="preserve"> </v>
      </c>
      <c r="B90" s="210"/>
      <c r="C90" s="449" t="s">
        <v>21</v>
      </c>
      <c r="D90" s="207" t="s">
        <v>32</v>
      </c>
      <c r="E90" s="447">
        <f>E89*F90</f>
        <v>36</v>
      </c>
      <c r="F90" s="136">
        <v>6</v>
      </c>
      <c r="G90" s="60"/>
      <c r="H90" s="91"/>
      <c r="I90" s="60"/>
      <c r="J90" s="60"/>
      <c r="K90" s="60"/>
      <c r="L90" s="315"/>
      <c r="M90" s="315"/>
      <c r="N90" s="315"/>
      <c r="O90" s="315"/>
      <c r="P90" s="315"/>
      <c r="Q90" s="315"/>
    </row>
    <row r="91" spans="1:18" s="94" customFormat="1" x14ac:dyDescent="0.25">
      <c r="A91" s="52" t="str">
        <f>IF(COUNTBLANK(B91)=1," ",COUNTA($B$12:B91))</f>
        <v xml:space="preserve"> </v>
      </c>
      <c r="B91" s="210"/>
      <c r="C91" s="450" t="s">
        <v>441</v>
      </c>
      <c r="D91" s="204" t="s">
        <v>17</v>
      </c>
      <c r="E91" s="447">
        <f>E89*F91</f>
        <v>6.6000000000000005</v>
      </c>
      <c r="F91" s="136">
        <v>1.1000000000000001</v>
      </c>
      <c r="G91" s="60"/>
      <c r="H91" s="91"/>
      <c r="I91" s="60"/>
      <c r="J91" s="60"/>
      <c r="K91" s="60"/>
      <c r="L91" s="315"/>
      <c r="M91" s="315"/>
      <c r="N91" s="315"/>
      <c r="O91" s="315"/>
      <c r="P91" s="315"/>
      <c r="Q91" s="315"/>
    </row>
    <row r="92" spans="1:18" x14ac:dyDescent="0.25">
      <c r="A92" s="52">
        <f>IF(COUNTBLANK(B92)=1," ",COUNTA($B$12:B92))</f>
        <v>39</v>
      </c>
      <c r="B92" s="9" t="s">
        <v>14</v>
      </c>
      <c r="C92" s="14" t="s">
        <v>352</v>
      </c>
      <c r="D92" s="743" t="s">
        <v>17</v>
      </c>
      <c r="E92" s="377">
        <v>1</v>
      </c>
      <c r="F92" s="60"/>
      <c r="G92" s="312"/>
      <c r="H92" s="446"/>
      <c r="I92" s="312"/>
      <c r="J92" s="312"/>
      <c r="K92" s="312"/>
      <c r="L92" s="315"/>
      <c r="M92" s="315"/>
      <c r="N92" s="315"/>
      <c r="O92" s="315"/>
      <c r="P92" s="315"/>
      <c r="Q92" s="315"/>
    </row>
    <row r="93" spans="1:18" ht="22.5" x14ac:dyDescent="0.25">
      <c r="A93" s="52" t="str">
        <f>IF(COUNTBLANK(B93)=1," ",COUNTA($B$12:B93))</f>
        <v xml:space="preserve"> </v>
      </c>
      <c r="B93" s="683"/>
      <c r="C93" s="675" t="s">
        <v>752</v>
      </c>
      <c r="D93" s="743"/>
      <c r="E93" s="53"/>
      <c r="F93" s="57"/>
      <c r="G93" s="34"/>
      <c r="H93" s="271"/>
      <c r="I93" s="34"/>
      <c r="J93" s="34"/>
      <c r="K93" s="34"/>
      <c r="L93" s="315"/>
      <c r="M93" s="315"/>
      <c r="N93" s="315"/>
      <c r="O93" s="315"/>
      <c r="P93" s="315"/>
      <c r="Q93" s="315"/>
    </row>
    <row r="94" spans="1:18" ht="22.5" x14ac:dyDescent="0.25">
      <c r="A94" s="52">
        <f>IF(COUNTBLANK(B94)=1," ",COUNTA($B$12:B94))</f>
        <v>40</v>
      </c>
      <c r="B94" s="9" t="s">
        <v>14</v>
      </c>
      <c r="C94" s="675" t="s">
        <v>838</v>
      </c>
      <c r="D94" s="676" t="s">
        <v>17</v>
      </c>
      <c r="E94" s="673">
        <f>0.3*8</f>
        <v>2.4</v>
      </c>
      <c r="F94" s="57"/>
      <c r="G94" s="136"/>
      <c r="H94" s="446"/>
      <c r="I94" s="136"/>
      <c r="J94" s="58"/>
      <c r="K94" s="58"/>
      <c r="L94" s="315"/>
      <c r="M94" s="315"/>
      <c r="N94" s="315"/>
      <c r="O94" s="315"/>
      <c r="P94" s="315"/>
      <c r="Q94" s="315"/>
    </row>
    <row r="95" spans="1:18" x14ac:dyDescent="0.25">
      <c r="A95" s="52">
        <f>IF(COUNTBLANK(B95)=1," ",COUNTA($B$12:B95))</f>
        <v>41</v>
      </c>
      <c r="B95" s="9" t="s">
        <v>14</v>
      </c>
      <c r="C95" s="675" t="s">
        <v>338</v>
      </c>
      <c r="D95" s="676" t="s">
        <v>16</v>
      </c>
      <c r="E95" s="673">
        <v>8</v>
      </c>
      <c r="F95" s="57"/>
      <c r="G95" s="136"/>
      <c r="H95" s="446"/>
      <c r="I95" s="136"/>
      <c r="J95" s="58"/>
      <c r="K95" s="58"/>
      <c r="L95" s="315"/>
      <c r="M95" s="315"/>
      <c r="N95" s="315"/>
      <c r="O95" s="315"/>
      <c r="P95" s="315"/>
      <c r="Q95" s="315"/>
    </row>
    <row r="96" spans="1:18" s="94" customFormat="1" ht="22.5" x14ac:dyDescent="0.25">
      <c r="A96" s="52">
        <f>IF(COUNTBLANK(B96)=1," ",COUNTA($B$12:B96))</f>
        <v>42</v>
      </c>
      <c r="B96" s="9" t="s">
        <v>14</v>
      </c>
      <c r="C96" s="14" t="s">
        <v>753</v>
      </c>
      <c r="D96" s="743" t="s">
        <v>17</v>
      </c>
      <c r="E96" s="53">
        <v>8.4</v>
      </c>
      <c r="F96" s="445"/>
      <c r="G96" s="136"/>
      <c r="H96" s="446"/>
      <c r="I96" s="136"/>
      <c r="J96" s="58"/>
      <c r="K96" s="58"/>
      <c r="L96" s="315"/>
      <c r="M96" s="315"/>
      <c r="N96" s="315"/>
      <c r="O96" s="315"/>
      <c r="P96" s="315"/>
      <c r="Q96" s="315"/>
    </row>
    <row r="97" spans="1:17" ht="22.5" x14ac:dyDescent="0.25">
      <c r="A97" s="52">
        <f>IF(COUNTBLANK(B97)=1," ",COUNTA($B$12:B97))</f>
        <v>43</v>
      </c>
      <c r="B97" s="9" t="s">
        <v>14</v>
      </c>
      <c r="C97" s="14" t="s">
        <v>339</v>
      </c>
      <c r="D97" s="743" t="s">
        <v>16</v>
      </c>
      <c r="E97" s="53">
        <v>8</v>
      </c>
      <c r="F97" s="60"/>
      <c r="G97" s="136"/>
      <c r="H97" s="446"/>
      <c r="I97" s="136"/>
      <c r="J97" s="58"/>
      <c r="K97" s="58"/>
      <c r="L97" s="315"/>
      <c r="M97" s="315"/>
      <c r="N97" s="315"/>
      <c r="O97" s="315"/>
      <c r="P97" s="315"/>
      <c r="Q97" s="315"/>
    </row>
    <row r="98" spans="1:17" ht="22.5" x14ac:dyDescent="0.25">
      <c r="A98" s="52">
        <f>IF(COUNTBLANK(B98)=1," ",COUNTA($B$12:B98))</f>
        <v>44</v>
      </c>
      <c r="B98" s="9" t="s">
        <v>14</v>
      </c>
      <c r="C98" s="14" t="s">
        <v>354</v>
      </c>
      <c r="D98" s="743" t="s">
        <v>16</v>
      </c>
      <c r="E98" s="53">
        <v>8</v>
      </c>
      <c r="F98" s="60"/>
      <c r="G98" s="10"/>
      <c r="H98" s="446"/>
      <c r="I98" s="34"/>
      <c r="J98" s="58"/>
      <c r="K98" s="10"/>
      <c r="L98" s="315"/>
      <c r="M98" s="315"/>
      <c r="N98" s="315"/>
      <c r="O98" s="315"/>
      <c r="P98" s="315"/>
      <c r="Q98" s="315"/>
    </row>
    <row r="99" spans="1:17" x14ac:dyDescent="0.25">
      <c r="A99" s="52">
        <f>IF(COUNTBLANK(B99)=1," ",COUNTA($B$12:B99))</f>
        <v>45</v>
      </c>
      <c r="B99" s="9" t="s">
        <v>14</v>
      </c>
      <c r="C99" s="14" t="s">
        <v>341</v>
      </c>
      <c r="D99" s="743" t="s">
        <v>16</v>
      </c>
      <c r="E99" s="53">
        <v>8</v>
      </c>
      <c r="F99" s="60"/>
      <c r="G99" s="136"/>
      <c r="H99" s="446"/>
      <c r="I99" s="436"/>
      <c r="J99" s="306"/>
      <c r="K99" s="136"/>
      <c r="L99" s="315"/>
      <c r="M99" s="315"/>
      <c r="N99" s="315"/>
      <c r="O99" s="315"/>
      <c r="P99" s="315"/>
      <c r="Q99" s="315"/>
    </row>
    <row r="100" spans="1:17" ht="22.5" x14ac:dyDescent="0.25">
      <c r="A100" s="52">
        <f>IF(COUNTBLANK(B100)=1," ",COUNTA($B$12:B100))</f>
        <v>46</v>
      </c>
      <c r="B100" s="9" t="s">
        <v>14</v>
      </c>
      <c r="C100" s="14" t="s">
        <v>355</v>
      </c>
      <c r="D100" s="743" t="s">
        <v>233</v>
      </c>
      <c r="E100" s="377">
        <v>2</v>
      </c>
      <c r="F100" s="381"/>
      <c r="G100" s="136"/>
      <c r="H100" s="446"/>
      <c r="I100" s="436"/>
      <c r="J100" s="306"/>
      <c r="K100" s="136"/>
      <c r="L100" s="315"/>
      <c r="M100" s="315"/>
      <c r="N100" s="315"/>
      <c r="O100" s="315"/>
      <c r="P100" s="315"/>
      <c r="Q100" s="315"/>
    </row>
    <row r="101" spans="1:17" x14ac:dyDescent="0.25">
      <c r="A101" s="855" t="str">
        <f>IF(COUNTBLANK(B101)=1," ",COUNTA($B$13:B101))</f>
        <v xml:space="preserve"> </v>
      </c>
      <c r="B101" s="224"/>
      <c r="D101" s="37"/>
      <c r="E101" s="227"/>
      <c r="F101" s="37"/>
      <c r="G101" s="228"/>
      <c r="H101" s="228"/>
      <c r="I101" s="228"/>
      <c r="J101" s="228"/>
      <c r="K101" s="228"/>
      <c r="L101" s="38"/>
      <c r="M101" s="38"/>
      <c r="N101" s="38"/>
      <c r="O101" s="38"/>
      <c r="P101" s="38"/>
      <c r="Q101" s="38"/>
    </row>
    <row r="102" spans="1:17" x14ac:dyDescent="0.25">
      <c r="A102" s="855"/>
      <c r="B102" s="31"/>
      <c r="C102" s="334" t="s">
        <v>179</v>
      </c>
      <c r="D102" s="17"/>
      <c r="E102" s="187"/>
      <c r="F102" s="187"/>
      <c r="G102" s="17"/>
      <c r="H102" s="17"/>
      <c r="I102" s="17"/>
      <c r="J102" s="17"/>
      <c r="K102" s="17"/>
      <c r="L102" s="17"/>
      <c r="M102" s="20">
        <f>SUM(M13:M100)</f>
        <v>0</v>
      </c>
      <c r="N102" s="20">
        <f>SUM(N13:N100)</f>
        <v>0</v>
      </c>
      <c r="O102" s="20">
        <f>SUM(O13:O100)</f>
        <v>0</v>
      </c>
      <c r="P102" s="20">
        <f>SUM(P13:P100)</f>
        <v>0</v>
      </c>
      <c r="Q102" s="20">
        <f>SUM(Q13:Q100)</f>
        <v>0</v>
      </c>
    </row>
    <row r="103" spans="1:17" x14ac:dyDescent="0.25">
      <c r="A103" s="414"/>
      <c r="B103" s="27"/>
      <c r="C103" s="51"/>
      <c r="D103" s="27"/>
      <c r="E103" s="31"/>
      <c r="F103" s="31"/>
      <c r="G103" s="30"/>
      <c r="H103" s="30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7" x14ac:dyDescent="0.25">
      <c r="A104" s="414"/>
      <c r="B104" s="140" t="str">
        <f>sas</f>
        <v>Sastādīja:</v>
      </c>
      <c r="C104" s="140"/>
      <c r="D104" s="94"/>
      <c r="E104" s="94"/>
      <c r="F104" s="94"/>
      <c r="G104" s="30"/>
      <c r="H104" s="30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1:17" x14ac:dyDescent="0.25">
      <c r="A105" s="414"/>
      <c r="B105" s="140"/>
      <c r="C105" s="385" t="s">
        <v>145</v>
      </c>
      <c r="D105" s="140"/>
      <c r="E105" s="94"/>
      <c r="F105" s="94"/>
      <c r="G105" s="31"/>
      <c r="H105" s="31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5">
      <c r="A106" s="414"/>
      <c r="B106" s="161"/>
      <c r="C106" s="138"/>
      <c r="D106" s="140"/>
      <c r="E106" s="94"/>
      <c r="F106" s="94"/>
      <c r="G106" s="31"/>
      <c r="H106" s="31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5">
      <c r="A107" s="414"/>
      <c r="B107" s="140" t="str">
        <f>dat</f>
        <v>Tāme sastādīta 201__. gada __.____________</v>
      </c>
      <c r="C107" s="140"/>
      <c r="D107" s="140"/>
      <c r="E107" s="94"/>
      <c r="F107" s="94"/>
      <c r="G107" s="31"/>
      <c r="H107" s="31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5">
      <c r="A108" s="414"/>
      <c r="B108" s="161"/>
      <c r="C108" s="138"/>
      <c r="D108" s="140"/>
      <c r="E108" s="94"/>
      <c r="F108" s="94"/>
      <c r="G108" s="31"/>
      <c r="H108" s="31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x14ac:dyDescent="0.25">
      <c r="A109" s="414"/>
      <c r="B109" s="140" t="s">
        <v>147</v>
      </c>
      <c r="C109" s="140"/>
      <c r="D109" s="100"/>
      <c r="E109" s="45"/>
      <c r="G109" s="31"/>
      <c r="H109" s="31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x14ac:dyDescent="0.25">
      <c r="B110" s="140"/>
      <c r="C110" s="385" t="s">
        <v>145</v>
      </c>
      <c r="D110" s="100"/>
      <c r="E110" s="45"/>
    </row>
    <row r="111" spans="1:17" x14ac:dyDescent="0.25">
      <c r="B111" s="161"/>
      <c r="C111" s="140" t="s">
        <v>148</v>
      </c>
      <c r="D111" s="100"/>
      <c r="E111" s="45"/>
    </row>
  </sheetData>
  <autoFilter ref="A11:IT102" xr:uid="{00000000-0009-0000-0000-00000F000000}"/>
  <mergeCells count="9">
    <mergeCell ref="G9:L9"/>
    <mergeCell ref="M9:Q9"/>
    <mergeCell ref="A101:A102"/>
    <mergeCell ref="A1:G1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U88"/>
  <sheetViews>
    <sheetView view="pageBreakPreview" topLeftCell="A31" zoomScale="85" zoomScaleNormal="85" zoomScaleSheetLayoutView="85" workbookViewId="0">
      <selection activeCell="C32" sqref="C32"/>
    </sheetView>
  </sheetViews>
  <sheetFormatPr defaultColWidth="8.85546875" defaultRowHeight="11.25" x14ac:dyDescent="0.25"/>
  <cols>
    <col min="1" max="1" width="4.140625" style="740" customWidth="1"/>
    <col min="2" max="2" width="4.140625" style="94" customWidth="1"/>
    <col min="3" max="3" width="47.28515625" style="151" customWidth="1"/>
    <col min="4" max="5" width="6" style="151" customWidth="1"/>
    <col min="6" max="6" width="8.7109375" style="151" customWidth="1"/>
    <col min="7" max="7" width="7.5703125" style="151" customWidth="1"/>
    <col min="8" max="8" width="5.85546875" style="94" customWidth="1"/>
    <col min="9" max="9" width="7.140625" style="383" customWidth="1"/>
    <col min="10" max="10" width="4" style="94" hidden="1" customWidth="1"/>
    <col min="11" max="11" width="6" style="94" customWidth="1"/>
    <col min="12" max="12" width="7" style="94" customWidth="1"/>
    <col min="13" max="13" width="5.42578125" style="94" customWidth="1"/>
    <col min="14" max="14" width="7" style="94" customWidth="1"/>
    <col min="15" max="15" width="5.42578125" style="94" customWidth="1"/>
    <col min="16" max="17" width="7.7109375" style="94" customWidth="1"/>
    <col min="18" max="18" width="8" style="94" customWidth="1"/>
    <col min="19" max="19" width="8.5703125" style="94" customWidth="1"/>
    <col min="20" max="20" width="7.140625" style="94" customWidth="1"/>
    <col min="21" max="21" width="8" style="94" customWidth="1"/>
    <col min="22" max="16384" width="8.85546875" style="94"/>
  </cols>
  <sheetData>
    <row r="1" spans="1:21" s="7" customFormat="1" x14ac:dyDescent="0.25">
      <c r="A1" s="856" t="s">
        <v>6</v>
      </c>
      <c r="B1" s="856"/>
      <c r="C1" s="856"/>
      <c r="D1" s="856"/>
      <c r="E1" s="856"/>
      <c r="F1" s="856"/>
      <c r="G1" s="856"/>
      <c r="H1" s="856"/>
      <c r="I1" s="856"/>
      <c r="J1" s="856"/>
      <c r="K1" s="842"/>
      <c r="L1" s="171">
        <f>KPDV!B26</f>
        <v>14</v>
      </c>
      <c r="M1" s="457"/>
      <c r="N1" s="457"/>
      <c r="O1" s="457"/>
      <c r="P1" s="457"/>
      <c r="Q1" s="457"/>
    </row>
    <row r="2" spans="1:21" s="7" customFormat="1" x14ac:dyDescent="0.25">
      <c r="A2" s="172"/>
      <c r="B2" s="745"/>
      <c r="C2" s="139" t="s">
        <v>471</v>
      </c>
      <c r="D2" s="139"/>
      <c r="E2" s="139"/>
      <c r="F2" s="139"/>
      <c r="G2" s="139"/>
      <c r="H2" s="745"/>
      <c r="I2" s="171"/>
      <c r="J2" s="745"/>
      <c r="K2" s="745"/>
      <c r="L2" s="171"/>
      <c r="M2" s="457"/>
      <c r="N2" s="457"/>
      <c r="O2" s="457"/>
      <c r="P2" s="457"/>
      <c r="Q2" s="457"/>
    </row>
    <row r="3" spans="1:21" x14ac:dyDescent="0.25">
      <c r="A3" s="190" t="str">
        <f>nos</f>
        <v>Būves nosaukums:  Dzīvojamās māja</v>
      </c>
      <c r="B3" s="115"/>
      <c r="C3" s="363"/>
      <c r="D3" s="363"/>
      <c r="E3" s="363"/>
      <c r="F3" s="363"/>
      <c r="G3" s="363"/>
      <c r="H3" s="115"/>
      <c r="I3" s="460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21" x14ac:dyDescent="0.25">
      <c r="A4" s="168" t="str">
        <f>obj</f>
        <v>Objekta nosaukums: Dzīvojamās ēkas fasādes vienkāršota atjaunošana</v>
      </c>
      <c r="B4" s="115"/>
      <c r="C4" s="363"/>
      <c r="D4" s="363"/>
      <c r="E4" s="363"/>
      <c r="F4" s="363"/>
      <c r="G4" s="363"/>
      <c r="H4" s="115"/>
      <c r="I4" s="460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 spans="1:21" x14ac:dyDescent="0.25">
      <c r="A5" s="168" t="str">
        <f>adres</f>
        <v>Objekta adrese: Aisteres iela 7, Liepājā</v>
      </c>
      <c r="B5" s="115"/>
      <c r="C5" s="363"/>
      <c r="D5" s="363"/>
      <c r="E5" s="363"/>
      <c r="F5" s="363"/>
      <c r="G5" s="363"/>
      <c r="H5" s="115"/>
      <c r="I5" s="460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ht="12" thickBot="1" x14ac:dyDescent="0.3">
      <c r="A6" s="168" t="str">
        <f>nr</f>
        <v>Pasūtījuma Nr.WS-41-17</v>
      </c>
      <c r="B6" s="115"/>
      <c r="C6" s="363"/>
      <c r="D6" s="363"/>
      <c r="E6" s="363"/>
      <c r="F6" s="363"/>
      <c r="G6" s="363"/>
      <c r="H6" s="115"/>
      <c r="I6" s="460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2" thickBot="1" x14ac:dyDescent="0.3">
      <c r="A7" s="190"/>
      <c r="B7" s="7"/>
      <c r="C7" s="454" t="s">
        <v>695</v>
      </c>
      <c r="D7" s="186"/>
      <c r="E7" s="186"/>
      <c r="F7" s="186"/>
      <c r="G7" s="186"/>
      <c r="H7" s="162"/>
      <c r="I7" s="171" t="s">
        <v>721</v>
      </c>
      <c r="J7" s="7" t="s">
        <v>143</v>
      </c>
      <c r="K7" s="7"/>
      <c r="L7" s="7"/>
      <c r="M7" s="7"/>
      <c r="N7" s="7"/>
      <c r="O7" s="7"/>
      <c r="P7" s="7"/>
      <c r="Q7" s="7"/>
      <c r="R7" s="7"/>
      <c r="S7" s="7"/>
      <c r="T7" s="163" t="s">
        <v>144</v>
      </c>
      <c r="U7" s="6">
        <f>U71</f>
        <v>0</v>
      </c>
    </row>
    <row r="8" spans="1:21" x14ac:dyDescent="0.25">
      <c r="A8" s="182"/>
      <c r="B8" s="187"/>
      <c r="C8" s="158"/>
      <c r="D8" s="158"/>
      <c r="E8" s="158"/>
      <c r="F8" s="158"/>
      <c r="G8" s="158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62"/>
      <c r="S8" s="188"/>
      <c r="T8" s="189" t="str">
        <f>KPDV!C47</f>
        <v>Tāme sastādīta 201__. gada __.____________</v>
      </c>
      <c r="U8" s="115"/>
    </row>
    <row r="9" spans="1:21" s="740" customFormat="1" x14ac:dyDescent="0.25">
      <c r="A9" s="830" t="s">
        <v>7</v>
      </c>
      <c r="B9" s="831" t="s">
        <v>8</v>
      </c>
      <c r="C9" s="848" t="s">
        <v>132</v>
      </c>
      <c r="D9" s="849"/>
      <c r="E9" s="849"/>
      <c r="F9" s="849"/>
      <c r="G9" s="849"/>
      <c r="H9" s="839" t="s">
        <v>51</v>
      </c>
      <c r="I9" s="831" t="s">
        <v>114</v>
      </c>
      <c r="J9" s="727"/>
      <c r="K9" s="829" t="s">
        <v>133</v>
      </c>
      <c r="L9" s="829"/>
      <c r="M9" s="829"/>
      <c r="N9" s="829"/>
      <c r="O9" s="829"/>
      <c r="P9" s="829"/>
      <c r="Q9" s="829" t="s">
        <v>134</v>
      </c>
      <c r="R9" s="829"/>
      <c r="S9" s="829"/>
      <c r="T9" s="829"/>
      <c r="U9" s="829"/>
    </row>
    <row r="10" spans="1:21" s="740" customFormat="1" ht="69" x14ac:dyDescent="0.25">
      <c r="A10" s="830"/>
      <c r="B10" s="831"/>
      <c r="C10" s="850"/>
      <c r="D10" s="851"/>
      <c r="E10" s="851"/>
      <c r="F10" s="851"/>
      <c r="G10" s="851"/>
      <c r="H10" s="839"/>
      <c r="I10" s="831"/>
      <c r="J10" s="727"/>
      <c r="K10" s="749" t="s">
        <v>135</v>
      </c>
      <c r="L10" s="749" t="s">
        <v>472</v>
      </c>
      <c r="M10" s="749" t="s">
        <v>473</v>
      </c>
      <c r="N10" s="749" t="s">
        <v>474</v>
      </c>
      <c r="O10" s="749" t="s">
        <v>475</v>
      </c>
      <c r="P10" s="749" t="s">
        <v>476</v>
      </c>
      <c r="Q10" s="749" t="s">
        <v>141</v>
      </c>
      <c r="R10" s="749" t="s">
        <v>473</v>
      </c>
      <c r="S10" s="749" t="s">
        <v>474</v>
      </c>
      <c r="T10" s="749" t="s">
        <v>475</v>
      </c>
      <c r="U10" s="749" t="s">
        <v>476</v>
      </c>
    </row>
    <row r="11" spans="1:21" s="740" customFormat="1" x14ac:dyDescent="0.25">
      <c r="A11" s="458">
        <v>1</v>
      </c>
      <c r="B11" s="394">
        <f>A11+1</f>
        <v>2</v>
      </c>
      <c r="C11" s="857">
        <f>B11+1</f>
        <v>3</v>
      </c>
      <c r="D11" s="858"/>
      <c r="E11" s="858"/>
      <c r="F11" s="858"/>
      <c r="G11" s="858"/>
      <c r="H11" s="394">
        <f>C11+1</f>
        <v>4</v>
      </c>
      <c r="I11" s="235">
        <f>H11+1</f>
        <v>5</v>
      </c>
      <c r="J11" s="459"/>
      <c r="K11" s="394">
        <f>I11+1</f>
        <v>6</v>
      </c>
      <c r="L11" s="394">
        <f t="shared" ref="L11:U11" si="0">K11+1</f>
        <v>7</v>
      </c>
      <c r="M11" s="394">
        <f t="shared" si="0"/>
        <v>8</v>
      </c>
      <c r="N11" s="394">
        <f t="shared" si="0"/>
        <v>9</v>
      </c>
      <c r="O11" s="394">
        <f t="shared" si="0"/>
        <v>10</v>
      </c>
      <c r="P11" s="394">
        <f t="shared" si="0"/>
        <v>11</v>
      </c>
      <c r="Q11" s="394">
        <f t="shared" si="0"/>
        <v>12</v>
      </c>
      <c r="R11" s="394">
        <f t="shared" si="0"/>
        <v>13</v>
      </c>
      <c r="S11" s="394">
        <f t="shared" si="0"/>
        <v>14</v>
      </c>
      <c r="T11" s="394">
        <f t="shared" si="0"/>
        <v>15</v>
      </c>
      <c r="U11" s="394">
        <f t="shared" si="0"/>
        <v>16</v>
      </c>
    </row>
    <row r="12" spans="1:21" s="740" customFormat="1" x14ac:dyDescent="0.25">
      <c r="A12" s="458"/>
      <c r="B12" s="394"/>
      <c r="C12" s="728"/>
      <c r="D12" s="817" t="s">
        <v>465</v>
      </c>
      <c r="E12" s="817"/>
      <c r="F12" s="817"/>
      <c r="G12" s="817" t="s">
        <v>118</v>
      </c>
      <c r="H12" s="394"/>
      <c r="I12" s="235"/>
      <c r="J12" s="459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</row>
    <row r="13" spans="1:21" x14ac:dyDescent="0.25">
      <c r="A13" s="376"/>
      <c r="B13" s="518"/>
      <c r="C13" s="54" t="s">
        <v>809</v>
      </c>
      <c r="D13" s="742" t="s">
        <v>463</v>
      </c>
      <c r="E13" s="742" t="s">
        <v>5</v>
      </c>
      <c r="F13" s="742" t="s">
        <v>464</v>
      </c>
      <c r="G13" s="817"/>
      <c r="H13" s="518"/>
      <c r="I13" s="633"/>
      <c r="J13" s="743"/>
      <c r="K13" s="743"/>
      <c r="L13" s="743"/>
      <c r="M13" s="743"/>
      <c r="N13" s="743"/>
      <c r="O13" s="743"/>
      <c r="P13" s="743"/>
      <c r="Q13" s="743"/>
      <c r="R13" s="743"/>
      <c r="S13" s="743"/>
      <c r="T13" s="743"/>
      <c r="U13" s="743"/>
    </row>
    <row r="14" spans="1:21" x14ac:dyDescent="0.25">
      <c r="A14" s="52">
        <f>IF(COUNTBLANK(B14)=1," ",COUNTA($B$12:B14))</f>
        <v>1</v>
      </c>
      <c r="B14" s="9" t="s">
        <v>14</v>
      </c>
      <c r="C14" s="742" t="s">
        <v>458</v>
      </c>
      <c r="D14" s="742">
        <v>150</v>
      </c>
      <c r="E14" s="742">
        <v>100</v>
      </c>
      <c r="F14" s="742">
        <v>4700</v>
      </c>
      <c r="G14" s="742">
        <v>2</v>
      </c>
      <c r="H14" s="53" t="s">
        <v>26</v>
      </c>
      <c r="I14" s="742">
        <v>0.14099999999999999</v>
      </c>
      <c r="J14" s="743"/>
      <c r="K14" s="312"/>
      <c r="L14" s="516"/>
      <c r="M14" s="312"/>
      <c r="N14" s="444"/>
      <c r="O14" s="312"/>
      <c r="P14" s="315"/>
      <c r="Q14" s="315"/>
      <c r="R14" s="315"/>
      <c r="S14" s="315"/>
      <c r="T14" s="315"/>
      <c r="U14" s="315"/>
    </row>
    <row r="15" spans="1:21" x14ac:dyDescent="0.25">
      <c r="A15" s="52">
        <f>IF(COUNTBLANK(B15)=1," ",COUNTA($B$12:B15))</f>
        <v>2</v>
      </c>
      <c r="B15" s="9" t="s">
        <v>14</v>
      </c>
      <c r="C15" s="742" t="s">
        <v>458</v>
      </c>
      <c r="D15" s="742">
        <v>150</v>
      </c>
      <c r="E15" s="742">
        <v>100</v>
      </c>
      <c r="F15" s="742">
        <v>4500</v>
      </c>
      <c r="G15" s="742">
        <v>12</v>
      </c>
      <c r="H15" s="53" t="str">
        <f>H14</f>
        <v>m³</v>
      </c>
      <c r="I15" s="742">
        <v>0.81</v>
      </c>
      <c r="J15" s="743"/>
      <c r="K15" s="312"/>
      <c r="L15" s="516"/>
      <c r="M15" s="312"/>
      <c r="N15" s="444"/>
      <c r="O15" s="312"/>
      <c r="P15" s="315"/>
      <c r="Q15" s="315"/>
      <c r="R15" s="315"/>
      <c r="S15" s="315"/>
      <c r="T15" s="315"/>
      <c r="U15" s="315"/>
    </row>
    <row r="16" spans="1:21" s="139" customFormat="1" x14ac:dyDescent="0.25">
      <c r="A16" s="52">
        <f>IF(COUNTBLANK(B16)=1," ",COUNTA($B$12:B16))</f>
        <v>3</v>
      </c>
      <c r="B16" s="9" t="s">
        <v>14</v>
      </c>
      <c r="C16" s="742" t="s">
        <v>458</v>
      </c>
      <c r="D16" s="742">
        <v>150</v>
      </c>
      <c r="E16" s="742">
        <v>100</v>
      </c>
      <c r="F16" s="742">
        <v>2210</v>
      </c>
      <c r="G16" s="742">
        <v>2</v>
      </c>
      <c r="H16" s="53" t="str">
        <f t="shared" ref="H16:H23" si="1">H15</f>
        <v>m³</v>
      </c>
      <c r="I16" s="742">
        <v>6.6000000000000003E-2</v>
      </c>
      <c r="J16" s="743"/>
      <c r="K16" s="312"/>
      <c r="L16" s="516"/>
      <c r="M16" s="312"/>
      <c r="N16" s="444"/>
      <c r="O16" s="312"/>
      <c r="P16" s="315"/>
      <c r="Q16" s="315"/>
      <c r="R16" s="315"/>
      <c r="S16" s="315"/>
      <c r="T16" s="315"/>
      <c r="U16" s="315"/>
    </row>
    <row r="17" spans="1:21" x14ac:dyDescent="0.25">
      <c r="A17" s="52">
        <f>IF(COUNTBLANK(B17)=1," ",COUNTA($B$12:B17))</f>
        <v>4</v>
      </c>
      <c r="B17" s="9" t="s">
        <v>14</v>
      </c>
      <c r="C17" s="742" t="s">
        <v>459</v>
      </c>
      <c r="D17" s="742">
        <v>60</v>
      </c>
      <c r="E17" s="742">
        <v>160</v>
      </c>
      <c r="F17" s="742">
        <v>5938</v>
      </c>
      <c r="G17" s="742">
        <v>62</v>
      </c>
      <c r="H17" s="53" t="str">
        <f t="shared" si="1"/>
        <v>m³</v>
      </c>
      <c r="I17" s="742">
        <v>3.5339999999999998</v>
      </c>
      <c r="J17" s="743"/>
      <c r="K17" s="312"/>
      <c r="L17" s="516"/>
      <c r="M17" s="312"/>
      <c r="N17" s="444"/>
      <c r="O17" s="312"/>
      <c r="P17" s="315"/>
      <c r="Q17" s="315"/>
      <c r="R17" s="315"/>
      <c r="S17" s="315"/>
      <c r="T17" s="315"/>
      <c r="U17" s="315"/>
    </row>
    <row r="18" spans="1:21" x14ac:dyDescent="0.25">
      <c r="A18" s="52">
        <f>IF(COUNTBLANK(B18)=1," ",COUNTA($B$12:B18))</f>
        <v>5</v>
      </c>
      <c r="B18" s="9" t="s">
        <v>14</v>
      </c>
      <c r="C18" s="742" t="s">
        <v>459</v>
      </c>
      <c r="D18" s="742">
        <v>60</v>
      </c>
      <c r="E18" s="742">
        <v>160</v>
      </c>
      <c r="F18" s="742">
        <v>5570</v>
      </c>
      <c r="G18" s="742">
        <v>4</v>
      </c>
      <c r="H18" s="53" t="str">
        <f t="shared" si="1"/>
        <v>m³</v>
      </c>
      <c r="I18" s="742">
        <v>0.214</v>
      </c>
      <c r="J18" s="743"/>
      <c r="K18" s="312"/>
      <c r="L18" s="516"/>
      <c r="M18" s="312"/>
      <c r="N18" s="444"/>
      <c r="O18" s="312"/>
      <c r="P18" s="315"/>
      <c r="Q18" s="315"/>
      <c r="R18" s="315"/>
      <c r="S18" s="315"/>
      <c r="T18" s="315"/>
      <c r="U18" s="315"/>
    </row>
    <row r="19" spans="1:21" x14ac:dyDescent="0.25">
      <c r="A19" s="52">
        <f>IF(COUNTBLANK(B19)=1," ",COUNTA($B$12:B19))</f>
        <v>6</v>
      </c>
      <c r="B19" s="9" t="s">
        <v>14</v>
      </c>
      <c r="C19" s="742" t="s">
        <v>460</v>
      </c>
      <c r="D19" s="742">
        <v>30</v>
      </c>
      <c r="E19" s="742">
        <v>160</v>
      </c>
      <c r="F19" s="742">
        <v>3000</v>
      </c>
      <c r="G19" s="742">
        <v>80</v>
      </c>
      <c r="H19" s="53" t="str">
        <f t="shared" si="1"/>
        <v>m³</v>
      </c>
      <c r="I19" s="742">
        <v>1.1519999999999999</v>
      </c>
      <c r="J19" s="743"/>
      <c r="K19" s="312"/>
      <c r="L19" s="516"/>
      <c r="M19" s="312"/>
      <c r="N19" s="444"/>
      <c r="O19" s="312"/>
      <c r="P19" s="315"/>
      <c r="Q19" s="315"/>
      <c r="R19" s="315"/>
      <c r="S19" s="315"/>
      <c r="T19" s="315"/>
      <c r="U19" s="315"/>
    </row>
    <row r="20" spans="1:21" x14ac:dyDescent="0.25">
      <c r="A20" s="52">
        <f>IF(COUNTBLANK(B20)=1," ",COUNTA($B$12:B20))</f>
        <v>7</v>
      </c>
      <c r="B20" s="9" t="s">
        <v>14</v>
      </c>
      <c r="C20" s="822" t="s">
        <v>461</v>
      </c>
      <c r="D20" s="742">
        <v>30</v>
      </c>
      <c r="E20" s="742">
        <v>160</v>
      </c>
      <c r="F20" s="742">
        <v>1015</v>
      </c>
      <c r="G20" s="742">
        <v>124</v>
      </c>
      <c r="H20" s="53" t="str">
        <f t="shared" si="1"/>
        <v>m³</v>
      </c>
      <c r="I20" s="742">
        <v>0.60399999999999998</v>
      </c>
      <c r="J20" s="743"/>
      <c r="K20" s="312"/>
      <c r="L20" s="516"/>
      <c r="M20" s="312"/>
      <c r="N20" s="444"/>
      <c r="O20" s="312"/>
      <c r="P20" s="315"/>
      <c r="Q20" s="315"/>
      <c r="R20" s="315"/>
      <c r="S20" s="315"/>
      <c r="T20" s="315"/>
      <c r="U20" s="315"/>
    </row>
    <row r="21" spans="1:21" x14ac:dyDescent="0.25">
      <c r="A21" s="52">
        <f>IF(COUNTBLANK(B21)=1," ",COUNTA($B$12:B21))</f>
        <v>8</v>
      </c>
      <c r="B21" s="9" t="s">
        <v>14</v>
      </c>
      <c r="C21" s="822"/>
      <c r="D21" s="742">
        <v>60</v>
      </c>
      <c r="E21" s="742">
        <v>160</v>
      </c>
      <c r="F21" s="742">
        <v>365</v>
      </c>
      <c r="G21" s="742">
        <v>62</v>
      </c>
      <c r="H21" s="53" t="str">
        <f t="shared" si="1"/>
        <v>m³</v>
      </c>
      <c r="I21" s="742">
        <v>0.217</v>
      </c>
      <c r="J21" s="743"/>
      <c r="K21" s="312"/>
      <c r="L21" s="516"/>
      <c r="M21" s="312"/>
      <c r="N21" s="444"/>
      <c r="O21" s="312"/>
      <c r="P21" s="315"/>
      <c r="Q21" s="315"/>
      <c r="R21" s="315"/>
      <c r="S21" s="315"/>
      <c r="T21" s="315"/>
      <c r="U21" s="315"/>
    </row>
    <row r="22" spans="1:21" x14ac:dyDescent="0.25">
      <c r="A22" s="52">
        <f>IF(COUNTBLANK(B22)=1," ",COUNTA($B$12:B22))</f>
        <v>9</v>
      </c>
      <c r="B22" s="9" t="s">
        <v>14</v>
      </c>
      <c r="C22" s="742" t="s">
        <v>462</v>
      </c>
      <c r="D22" s="742">
        <v>60</v>
      </c>
      <c r="E22" s="742">
        <v>160</v>
      </c>
      <c r="F22" s="742">
        <v>790</v>
      </c>
      <c r="G22" s="742">
        <v>4</v>
      </c>
      <c r="H22" s="53" t="str">
        <f t="shared" si="1"/>
        <v>m³</v>
      </c>
      <c r="I22" s="623">
        <v>3.0335999999999998E-2</v>
      </c>
      <c r="J22" s="743"/>
      <c r="K22" s="312"/>
      <c r="L22" s="516"/>
      <c r="M22" s="312"/>
      <c r="N22" s="444"/>
      <c r="O22" s="312"/>
      <c r="P22" s="315"/>
      <c r="Q22" s="315"/>
      <c r="R22" s="315"/>
      <c r="S22" s="315"/>
      <c r="T22" s="315"/>
      <c r="U22" s="315"/>
    </row>
    <row r="23" spans="1:21" x14ac:dyDescent="0.25">
      <c r="A23" s="52">
        <f>IF(COUNTBLANK(B23)=1," ",COUNTA($B$12:B23))</f>
        <v>10</v>
      </c>
      <c r="B23" s="9" t="s">
        <v>14</v>
      </c>
      <c r="C23" s="742" t="s">
        <v>462</v>
      </c>
      <c r="D23" s="742">
        <v>60</v>
      </c>
      <c r="E23" s="742">
        <v>160</v>
      </c>
      <c r="F23" s="742">
        <v>770</v>
      </c>
      <c r="G23" s="742">
        <v>4</v>
      </c>
      <c r="H23" s="53" t="str">
        <f t="shared" si="1"/>
        <v>m³</v>
      </c>
      <c r="I23" s="623">
        <v>2.9568000000000001E-2</v>
      </c>
      <c r="J23" s="136"/>
      <c r="K23" s="312"/>
      <c r="L23" s="516"/>
      <c r="M23" s="312"/>
      <c r="N23" s="444"/>
      <c r="O23" s="312"/>
      <c r="P23" s="315"/>
      <c r="Q23" s="315"/>
      <c r="R23" s="315"/>
      <c r="S23" s="315"/>
      <c r="T23" s="315"/>
      <c r="U23" s="315"/>
    </row>
    <row r="24" spans="1:21" x14ac:dyDescent="0.25">
      <c r="A24" s="52">
        <f>IF(COUNTBLANK(B24)=1," ",COUNTA($B$12:B24))</f>
        <v>11</v>
      </c>
      <c r="B24" s="9" t="s">
        <v>14</v>
      </c>
      <c r="C24" s="624" t="s">
        <v>466</v>
      </c>
      <c r="D24" s="742">
        <v>100</v>
      </c>
      <c r="E24" s="742">
        <v>30</v>
      </c>
      <c r="F24" s="742">
        <v>4200</v>
      </c>
      <c r="G24" s="624">
        <v>368</v>
      </c>
      <c r="H24" s="53" t="s">
        <v>26</v>
      </c>
      <c r="I24" s="742">
        <v>4.6369999999999996</v>
      </c>
      <c r="J24" s="743"/>
      <c r="K24" s="312"/>
      <c r="L24" s="516"/>
      <c r="M24" s="312"/>
      <c r="N24" s="444"/>
      <c r="O24" s="312"/>
      <c r="P24" s="315"/>
      <c r="Q24" s="315"/>
      <c r="R24" s="315"/>
      <c r="S24" s="315"/>
      <c r="T24" s="315"/>
      <c r="U24" s="315"/>
    </row>
    <row r="25" spans="1:21" ht="22.5" x14ac:dyDescent="0.25">
      <c r="A25" s="359">
        <f>IF(COUNTBLANK(B25)=1," ",COUNTA($B$12:B25))</f>
        <v>12</v>
      </c>
      <c r="B25" s="288" t="s">
        <v>14</v>
      </c>
      <c r="C25" s="755" t="s">
        <v>719</v>
      </c>
      <c r="D25" s="755"/>
      <c r="E25" s="755"/>
      <c r="F25" s="755"/>
      <c r="G25" s="755"/>
      <c r="H25" s="756" t="s">
        <v>203</v>
      </c>
      <c r="I25" s="756">
        <v>1</v>
      </c>
      <c r="J25" s="291"/>
      <c r="K25" s="228"/>
      <c r="L25" s="393"/>
      <c r="M25" s="228"/>
      <c r="N25" s="228"/>
      <c r="O25" s="228"/>
      <c r="P25" s="313"/>
      <c r="Q25" s="313"/>
      <c r="R25" s="313"/>
      <c r="S25" s="313"/>
      <c r="T25" s="313"/>
      <c r="U25" s="313"/>
    </row>
    <row r="26" spans="1:21" ht="22.5" x14ac:dyDescent="0.25">
      <c r="A26" s="52">
        <f>IF(COUNTBLANK(B26)=1," ",COUNTA($B$12:B26))</f>
        <v>13</v>
      </c>
      <c r="B26" s="521" t="s">
        <v>14</v>
      </c>
      <c r="C26" s="451" t="s">
        <v>582</v>
      </c>
      <c r="D26" s="525"/>
      <c r="E26" s="526"/>
      <c r="F26" s="523"/>
      <c r="G26" s="229"/>
      <c r="H26" s="525" t="s">
        <v>17</v>
      </c>
      <c r="I26" s="526">
        <f>6.4*2*33</f>
        <v>422.40000000000003</v>
      </c>
      <c r="J26" s="523"/>
      <c r="K26" s="229"/>
      <c r="L26" s="522"/>
      <c r="M26" s="229"/>
      <c r="N26" s="229"/>
      <c r="O26" s="523"/>
      <c r="P26" s="524"/>
      <c r="Q26" s="524"/>
      <c r="R26" s="524"/>
      <c r="S26" s="524"/>
      <c r="T26" s="524"/>
      <c r="U26" s="524"/>
    </row>
    <row r="27" spans="1:21" x14ac:dyDescent="0.25">
      <c r="A27" s="52" t="str">
        <f>IF(COUNTBLANK(B27)=1," ",COUNTA($B$12:B27))</f>
        <v xml:space="preserve"> </v>
      </c>
      <c r="B27" s="521"/>
      <c r="C27" s="451" t="s">
        <v>583</v>
      </c>
      <c r="D27" s="525"/>
      <c r="E27" s="526"/>
      <c r="F27" s="523"/>
      <c r="G27" s="229"/>
      <c r="H27" s="525" t="s">
        <v>17</v>
      </c>
      <c r="I27" s="526">
        <f>I26*J27</f>
        <v>464.6400000000001</v>
      </c>
      <c r="J27" s="523">
        <f>1.1</f>
        <v>1.1000000000000001</v>
      </c>
      <c r="K27" s="229"/>
      <c r="L27" s="522"/>
      <c r="M27" s="229"/>
      <c r="N27" s="229"/>
      <c r="O27" s="523"/>
      <c r="P27" s="524"/>
      <c r="Q27" s="524"/>
      <c r="R27" s="524"/>
      <c r="S27" s="524"/>
      <c r="T27" s="524"/>
      <c r="U27" s="524"/>
    </row>
    <row r="28" spans="1:21" ht="22.5" x14ac:dyDescent="0.25">
      <c r="A28" s="52">
        <f>IF(COUNTBLANK(B28)=1," ",COUNTA($B$12:B28))</f>
        <v>14</v>
      </c>
      <c r="B28" s="521" t="s">
        <v>14</v>
      </c>
      <c r="C28" s="451" t="s">
        <v>889</v>
      </c>
      <c r="D28" s="525"/>
      <c r="E28" s="526"/>
      <c r="F28" s="229"/>
      <c r="G28" s="229"/>
      <c r="H28" s="525" t="s">
        <v>17</v>
      </c>
      <c r="I28" s="526">
        <f>I26</f>
        <v>422.40000000000003</v>
      </c>
      <c r="J28" s="229"/>
      <c r="K28" s="229"/>
      <c r="L28" s="522"/>
      <c r="M28" s="229"/>
      <c r="N28" s="522"/>
      <c r="O28" s="229"/>
      <c r="P28" s="524"/>
      <c r="Q28" s="524"/>
      <c r="R28" s="524"/>
      <c r="S28" s="524"/>
      <c r="T28" s="524"/>
      <c r="U28" s="524"/>
    </row>
    <row r="29" spans="1:21" x14ac:dyDescent="0.25">
      <c r="A29" s="52" t="str">
        <f>IF(COUNTBLANK(B29)=1," ",COUNTA($B$12:B29))</f>
        <v xml:space="preserve"> </v>
      </c>
      <c r="B29" s="523"/>
      <c r="C29" s="451" t="s">
        <v>890</v>
      </c>
      <c r="D29" s="525"/>
      <c r="E29" s="229"/>
      <c r="F29" s="229"/>
      <c r="G29" s="229"/>
      <c r="H29" s="525" t="s">
        <v>17</v>
      </c>
      <c r="I29" s="229">
        <f>I28*J29</f>
        <v>464.6400000000001</v>
      </c>
      <c r="J29" s="229">
        <v>1.1000000000000001</v>
      </c>
      <c r="K29" s="229"/>
      <c r="L29" s="229"/>
      <c r="M29" s="229"/>
      <c r="N29" s="229"/>
      <c r="O29" s="229"/>
      <c r="P29" s="524"/>
      <c r="Q29" s="524"/>
      <c r="R29" s="524"/>
      <c r="S29" s="524"/>
      <c r="T29" s="524"/>
      <c r="U29" s="524"/>
    </row>
    <row r="30" spans="1:21" x14ac:dyDescent="0.25">
      <c r="A30" s="52" t="str">
        <f>IF(COUNTBLANK(B30)=1," ",COUNTA($B$12:B30))</f>
        <v xml:space="preserve"> </v>
      </c>
      <c r="B30" s="523"/>
      <c r="C30" s="451" t="s">
        <v>580</v>
      </c>
      <c r="D30" s="523"/>
      <c r="E30" s="229"/>
      <c r="F30" s="229"/>
      <c r="G30" s="229"/>
      <c r="H30" s="523" t="s">
        <v>201</v>
      </c>
      <c r="I30" s="229">
        <f>I28*J30</f>
        <v>2534.4</v>
      </c>
      <c r="J30" s="229">
        <v>6</v>
      </c>
      <c r="K30" s="229"/>
      <c r="L30" s="229"/>
      <c r="M30" s="229"/>
      <c r="N30" s="229"/>
      <c r="O30" s="229"/>
      <c r="P30" s="524"/>
      <c r="Q30" s="524"/>
      <c r="R30" s="524"/>
      <c r="S30" s="524"/>
      <c r="T30" s="524"/>
      <c r="U30" s="524"/>
    </row>
    <row r="31" spans="1:21" x14ac:dyDescent="0.25">
      <c r="A31" s="52" t="str">
        <f>IF(COUNTBLANK(B31)=1," ",COUNTA($B$12:B31))</f>
        <v xml:space="preserve"> </v>
      </c>
      <c r="B31" s="523"/>
      <c r="C31" s="451" t="s">
        <v>581</v>
      </c>
      <c r="D31" s="523"/>
      <c r="E31" s="229"/>
      <c r="F31" s="229"/>
      <c r="G31" s="229"/>
      <c r="H31" s="523" t="s">
        <v>16</v>
      </c>
      <c r="I31" s="229">
        <f>I28*J31</f>
        <v>422.40000000000003</v>
      </c>
      <c r="J31" s="229">
        <v>1</v>
      </c>
      <c r="K31" s="229"/>
      <c r="L31" s="229"/>
      <c r="M31" s="229"/>
      <c r="N31" s="229"/>
      <c r="O31" s="229"/>
      <c r="P31" s="524"/>
      <c r="Q31" s="524"/>
      <c r="R31" s="524"/>
      <c r="S31" s="524"/>
      <c r="T31" s="524"/>
      <c r="U31" s="524"/>
    </row>
    <row r="32" spans="1:21" ht="22.5" x14ac:dyDescent="0.25">
      <c r="A32" s="52">
        <f>IF(COUNTBLANK(B32)=1," ",COUNTA($B$12:B32))</f>
        <v>15</v>
      </c>
      <c r="B32" s="554" t="s">
        <v>14</v>
      </c>
      <c r="C32" s="556" t="s">
        <v>593</v>
      </c>
      <c r="D32" s="557"/>
      <c r="E32" s="558"/>
      <c r="F32" s="312"/>
      <c r="G32" s="625"/>
      <c r="H32" s="557" t="s">
        <v>16</v>
      </c>
      <c r="I32" s="558"/>
      <c r="J32" s="312"/>
      <c r="K32" s="625"/>
      <c r="L32" s="625"/>
      <c r="M32" s="625"/>
      <c r="N32" s="625"/>
      <c r="O32" s="462"/>
      <c r="P32" s="462"/>
      <c r="Q32" s="462"/>
      <c r="R32" s="462"/>
      <c r="S32" s="462"/>
      <c r="T32" s="462"/>
      <c r="U32" s="462"/>
    </row>
    <row r="33" spans="1:21" ht="22.5" x14ac:dyDescent="0.25">
      <c r="A33" s="52">
        <f>IF(COUNTBLANK(B33)=1," ",COUNTA($B$12:B33))</f>
        <v>16</v>
      </c>
      <c r="B33" s="554" t="s">
        <v>14</v>
      </c>
      <c r="C33" s="556" t="s">
        <v>594</v>
      </c>
      <c r="D33" s="557"/>
      <c r="E33" s="558"/>
      <c r="F33" s="312"/>
      <c r="G33" s="625"/>
      <c r="H33" s="557" t="s">
        <v>16</v>
      </c>
      <c r="I33" s="558">
        <f>17*8</f>
        <v>136</v>
      </c>
      <c r="J33" s="312"/>
      <c r="K33" s="625"/>
      <c r="L33" s="625"/>
      <c r="M33" s="625"/>
      <c r="N33" s="625"/>
      <c r="O33" s="462"/>
      <c r="P33" s="462"/>
      <c r="Q33" s="462"/>
      <c r="R33" s="462"/>
      <c r="S33" s="462"/>
      <c r="T33" s="462"/>
      <c r="U33" s="462"/>
    </row>
    <row r="34" spans="1:21" x14ac:dyDescent="0.25">
      <c r="A34" s="52">
        <f>IF(COUNTBLANK(B34)=1," ",COUNTA($B$12:B34))</f>
        <v>17</v>
      </c>
      <c r="B34" s="554" t="s">
        <v>14</v>
      </c>
      <c r="C34" s="556" t="s">
        <v>705</v>
      </c>
      <c r="D34" s="557"/>
      <c r="E34" s="558"/>
      <c r="F34" s="312"/>
      <c r="G34" s="462"/>
      <c r="H34" s="557" t="s">
        <v>201</v>
      </c>
      <c r="I34" s="558">
        <v>8</v>
      </c>
      <c r="J34" s="312"/>
      <c r="K34" s="625"/>
      <c r="L34" s="625"/>
      <c r="M34" s="625"/>
      <c r="N34" s="462"/>
      <c r="O34" s="462"/>
      <c r="P34" s="462"/>
      <c r="Q34" s="462"/>
      <c r="R34" s="462"/>
      <c r="S34" s="462"/>
      <c r="T34" s="462"/>
      <c r="U34" s="462"/>
    </row>
    <row r="35" spans="1:21" x14ac:dyDescent="0.25">
      <c r="A35" s="52">
        <f>IF(COUNTBLANK(B35)=1," ",COUNTA($B$12:B35))</f>
        <v>18</v>
      </c>
      <c r="B35" s="554" t="s">
        <v>14</v>
      </c>
      <c r="C35" s="846" t="s">
        <v>699</v>
      </c>
      <c r="D35" s="557"/>
      <c r="E35" s="558"/>
      <c r="F35" s="312"/>
      <c r="G35" s="462" t="s">
        <v>99</v>
      </c>
      <c r="H35" s="557" t="s">
        <v>16</v>
      </c>
      <c r="I35" s="558">
        <f>(I40-I39)*3</f>
        <v>12</v>
      </c>
      <c r="J35" s="574"/>
      <c r="K35" s="626"/>
      <c r="L35" s="626"/>
      <c r="M35" s="626"/>
      <c r="N35" s="627"/>
      <c r="O35" s="627"/>
      <c r="P35" s="627"/>
      <c r="Q35" s="627"/>
      <c r="R35" s="627"/>
      <c r="S35" s="627"/>
      <c r="T35" s="462"/>
      <c r="U35" s="462"/>
    </row>
    <row r="36" spans="1:21" x14ac:dyDescent="0.25">
      <c r="A36" s="52">
        <f>IF(COUNTBLANK(B36)=1," ",COUNTA($B$12:B36))</f>
        <v>19</v>
      </c>
      <c r="B36" s="554" t="s">
        <v>14</v>
      </c>
      <c r="C36" s="847"/>
      <c r="D36" s="557"/>
      <c r="E36" s="558"/>
      <c r="F36" s="312"/>
      <c r="G36" s="462" t="s">
        <v>100</v>
      </c>
      <c r="H36" s="557" t="s">
        <v>16</v>
      </c>
      <c r="I36" s="558">
        <f>I39*3</f>
        <v>12</v>
      </c>
      <c r="J36" s="574"/>
      <c r="K36" s="626"/>
      <c r="L36" s="626"/>
      <c r="M36" s="626"/>
      <c r="N36" s="627"/>
      <c r="O36" s="627"/>
      <c r="P36" s="627"/>
      <c r="Q36" s="627"/>
      <c r="R36" s="627"/>
      <c r="S36" s="627"/>
      <c r="T36" s="462"/>
      <c r="U36" s="462"/>
    </row>
    <row r="37" spans="1:21" x14ac:dyDescent="0.25">
      <c r="A37" s="52">
        <f>IF(COUNTBLANK(B37)=1," ",COUNTA($B$12:B37))</f>
        <v>20</v>
      </c>
      <c r="B37" s="554" t="s">
        <v>14</v>
      </c>
      <c r="C37" s="846" t="s">
        <v>700</v>
      </c>
      <c r="D37" s="557"/>
      <c r="E37" s="558"/>
      <c r="F37" s="312"/>
      <c r="G37" s="462" t="s">
        <v>99</v>
      </c>
      <c r="H37" s="557" t="s">
        <v>16</v>
      </c>
      <c r="I37" s="558">
        <f>I35</f>
        <v>12</v>
      </c>
      <c r="J37" s="574"/>
      <c r="K37" s="626"/>
      <c r="L37" s="626"/>
      <c r="M37" s="626"/>
      <c r="N37" s="627"/>
      <c r="O37" s="627"/>
      <c r="P37" s="627"/>
      <c r="Q37" s="627"/>
      <c r="R37" s="627"/>
      <c r="S37" s="627"/>
      <c r="T37" s="462"/>
      <c r="U37" s="462"/>
    </row>
    <row r="38" spans="1:21" x14ac:dyDescent="0.25">
      <c r="A38" s="52">
        <f>IF(COUNTBLANK(B38)=1," ",COUNTA($B$12:B38))</f>
        <v>21</v>
      </c>
      <c r="B38" s="554" t="s">
        <v>14</v>
      </c>
      <c r="C38" s="847"/>
      <c r="D38" s="557"/>
      <c r="E38" s="558"/>
      <c r="F38" s="312"/>
      <c r="G38" s="462" t="s">
        <v>100</v>
      </c>
      <c r="H38" s="557"/>
      <c r="I38" s="558">
        <f>I36</f>
        <v>12</v>
      </c>
      <c r="J38" s="574"/>
      <c r="K38" s="626"/>
      <c r="L38" s="626"/>
      <c r="M38" s="626"/>
      <c r="N38" s="627"/>
      <c r="O38" s="627"/>
      <c r="P38" s="627"/>
      <c r="Q38" s="627"/>
      <c r="R38" s="627"/>
      <c r="S38" s="627"/>
      <c r="T38" s="462"/>
      <c r="U38" s="462"/>
    </row>
    <row r="39" spans="1:21" ht="22.5" x14ac:dyDescent="0.25">
      <c r="A39" s="52">
        <f>IF(COUNTBLANK(B39)=1," ",COUNTA($B$12:B39))</f>
        <v>22</v>
      </c>
      <c r="B39" s="554" t="s">
        <v>14</v>
      </c>
      <c r="C39" s="556" t="s">
        <v>698</v>
      </c>
      <c r="D39" s="557"/>
      <c r="E39" s="558"/>
      <c r="F39" s="312"/>
      <c r="G39" s="462"/>
      <c r="H39" s="557" t="s">
        <v>201</v>
      </c>
      <c r="I39" s="558">
        <v>4</v>
      </c>
      <c r="J39" s="574"/>
      <c r="K39" s="626"/>
      <c r="L39" s="626"/>
      <c r="M39" s="626"/>
      <c r="N39" s="627"/>
      <c r="O39" s="627"/>
      <c r="P39" s="627"/>
      <c r="Q39" s="627"/>
      <c r="R39" s="627"/>
      <c r="S39" s="627"/>
      <c r="T39" s="462"/>
      <c r="U39" s="462"/>
    </row>
    <row r="40" spans="1:21" ht="45" x14ac:dyDescent="0.25">
      <c r="A40" s="52">
        <f>IF(COUNTBLANK(B40)=1," ",COUNTA($B$12:B40))</f>
        <v>23</v>
      </c>
      <c r="B40" s="554" t="s">
        <v>14</v>
      </c>
      <c r="C40" s="556" t="s">
        <v>702</v>
      </c>
      <c r="D40" s="557"/>
      <c r="E40" s="558"/>
      <c r="F40" s="312"/>
      <c r="G40" s="625"/>
      <c r="H40" s="557" t="s">
        <v>203</v>
      </c>
      <c r="I40" s="558">
        <v>8</v>
      </c>
      <c r="J40" s="574"/>
      <c r="K40" s="626"/>
      <c r="L40" s="626"/>
      <c r="M40" s="626"/>
      <c r="N40" s="627"/>
      <c r="O40" s="627"/>
      <c r="P40" s="627"/>
      <c r="Q40" s="627"/>
      <c r="R40" s="627"/>
      <c r="S40" s="627"/>
      <c r="T40" s="462"/>
      <c r="U40" s="462"/>
    </row>
    <row r="41" spans="1:21" ht="22.5" x14ac:dyDescent="0.25">
      <c r="A41" s="52">
        <f>IF(COUNTBLANK(B41)=1," ",COUNTA($B$12:B41))</f>
        <v>24</v>
      </c>
      <c r="B41" s="554" t="s">
        <v>14</v>
      </c>
      <c r="C41" s="556" t="s">
        <v>701</v>
      </c>
      <c r="D41" s="557"/>
      <c r="E41" s="558"/>
      <c r="F41" s="312"/>
      <c r="G41" s="625"/>
      <c r="H41" s="557" t="s">
        <v>203</v>
      </c>
      <c r="I41" s="558">
        <f>I40</f>
        <v>8</v>
      </c>
      <c r="J41" s="574"/>
      <c r="K41" s="626"/>
      <c r="L41" s="626"/>
      <c r="M41" s="626"/>
      <c r="N41" s="627"/>
      <c r="O41" s="627"/>
      <c r="P41" s="627"/>
      <c r="Q41" s="627"/>
      <c r="R41" s="627"/>
      <c r="S41" s="627"/>
      <c r="T41" s="462"/>
      <c r="U41" s="462"/>
    </row>
    <row r="42" spans="1:21" ht="22.5" x14ac:dyDescent="0.25">
      <c r="A42" s="52">
        <f>IF(COUNTBLANK(B42)=1," ",COUNTA($B$12:B42))</f>
        <v>25</v>
      </c>
      <c r="B42" s="554" t="s">
        <v>14</v>
      </c>
      <c r="C42" s="556" t="s">
        <v>697</v>
      </c>
      <c r="D42" s="557"/>
      <c r="E42" s="558"/>
      <c r="F42" s="312"/>
      <c r="G42" s="462" t="s">
        <v>99</v>
      </c>
      <c r="H42" s="557" t="s">
        <v>203</v>
      </c>
      <c r="I42" s="558">
        <f>I40-I39</f>
        <v>4</v>
      </c>
      <c r="J42" s="574"/>
      <c r="K42" s="626"/>
      <c r="L42" s="626"/>
      <c r="M42" s="626"/>
      <c r="N42" s="627"/>
      <c r="O42" s="627"/>
      <c r="P42" s="627"/>
      <c r="Q42" s="627"/>
      <c r="R42" s="627"/>
      <c r="S42" s="627"/>
      <c r="T42" s="462"/>
      <c r="U42" s="462"/>
    </row>
    <row r="43" spans="1:21" ht="22.5" x14ac:dyDescent="0.25">
      <c r="A43" s="52">
        <f>IF(COUNTBLANK(B43)=1," ",COUNTA($B$12:B43))</f>
        <v>26</v>
      </c>
      <c r="B43" s="554" t="s">
        <v>14</v>
      </c>
      <c r="C43" s="556" t="s">
        <v>697</v>
      </c>
      <c r="D43" s="557"/>
      <c r="E43" s="558"/>
      <c r="F43" s="312"/>
      <c r="G43" s="462" t="s">
        <v>100</v>
      </c>
      <c r="H43" s="557" t="s">
        <v>203</v>
      </c>
      <c r="I43" s="558">
        <f>I39</f>
        <v>4</v>
      </c>
      <c r="J43" s="574"/>
      <c r="K43" s="626"/>
      <c r="L43" s="626"/>
      <c r="M43" s="626"/>
      <c r="N43" s="627"/>
      <c r="O43" s="627"/>
      <c r="P43" s="627"/>
      <c r="Q43" s="627"/>
      <c r="R43" s="627"/>
      <c r="S43" s="627"/>
      <c r="T43" s="462"/>
      <c r="U43" s="462"/>
    </row>
    <row r="44" spans="1:21" x14ac:dyDescent="0.25">
      <c r="A44" s="52" t="str">
        <f>IF(COUNTBLANK(B44)=1," ",COUNTA($B$12:B44))</f>
        <v xml:space="preserve"> </v>
      </c>
      <c r="B44" s="9"/>
      <c r="C44" s="736" t="s">
        <v>822</v>
      </c>
      <c r="D44" s="736"/>
      <c r="E44" s="736"/>
      <c r="F44" s="736"/>
      <c r="G44" s="736"/>
      <c r="H44" s="729"/>
      <c r="I44" s="392"/>
      <c r="J44" s="136"/>
      <c r="K44" s="136"/>
      <c r="L44" s="136"/>
      <c r="M44" s="136"/>
      <c r="N44" s="136"/>
      <c r="O44" s="136"/>
      <c r="P44" s="315"/>
      <c r="Q44" s="315"/>
      <c r="R44" s="315"/>
      <c r="S44" s="315"/>
      <c r="T44" s="315"/>
      <c r="U44" s="315"/>
    </row>
    <row r="45" spans="1:21" x14ac:dyDescent="0.25">
      <c r="A45" s="52">
        <f>IF(COUNTBLANK(B45)=1," ",COUNTA($B$12:B45))</f>
        <v>27</v>
      </c>
      <c r="B45" s="9" t="s">
        <v>14</v>
      </c>
      <c r="C45" s="736" t="s">
        <v>468</v>
      </c>
      <c r="D45" s="736"/>
      <c r="E45" s="628"/>
      <c r="F45" s="381"/>
      <c r="G45" s="628">
        <v>6</v>
      </c>
      <c r="H45" s="53" t="s">
        <v>26</v>
      </c>
      <c r="I45" s="629">
        <v>2.129</v>
      </c>
      <c r="J45" s="743"/>
      <c r="K45" s="312"/>
      <c r="L45" s="516"/>
      <c r="M45" s="312"/>
      <c r="N45" s="444"/>
      <c r="O45" s="312"/>
      <c r="P45" s="315"/>
      <c r="Q45" s="315"/>
      <c r="R45" s="315"/>
      <c r="S45" s="315"/>
      <c r="T45" s="315"/>
      <c r="U45" s="315"/>
    </row>
    <row r="46" spans="1:21" x14ac:dyDescent="0.25">
      <c r="A46" s="52">
        <f>IF(COUNTBLANK(B46)=1," ",COUNTA($B$12:B46))</f>
        <v>28</v>
      </c>
      <c r="B46" s="9" t="s">
        <v>14</v>
      </c>
      <c r="C46" s="736" t="s">
        <v>469</v>
      </c>
      <c r="D46" s="736"/>
      <c r="E46" s="628"/>
      <c r="F46" s="381"/>
      <c r="G46" s="628">
        <v>6</v>
      </c>
      <c r="H46" s="53" t="str">
        <f>H45</f>
        <v>m³</v>
      </c>
      <c r="I46" s="629">
        <v>2.1240000000000001</v>
      </c>
      <c r="J46" s="743"/>
      <c r="K46" s="312"/>
      <c r="L46" s="516"/>
      <c r="M46" s="312"/>
      <c r="N46" s="444"/>
      <c r="O46" s="312"/>
      <c r="P46" s="315"/>
      <c r="Q46" s="315"/>
      <c r="R46" s="315"/>
      <c r="S46" s="315"/>
      <c r="T46" s="315"/>
      <c r="U46" s="315"/>
    </row>
    <row r="47" spans="1:21" x14ac:dyDescent="0.25">
      <c r="A47" s="52" t="str">
        <f>IF(COUNTBLANK(B47)=1," ",COUNTA($B$12:B47))</f>
        <v xml:space="preserve"> </v>
      </c>
      <c r="B47" s="9"/>
      <c r="C47" s="619" t="s">
        <v>470</v>
      </c>
      <c r="D47" s="736"/>
      <c r="E47" s="736"/>
      <c r="F47" s="736"/>
      <c r="G47" s="736"/>
      <c r="H47" s="743"/>
      <c r="I47" s="392"/>
      <c r="J47" s="743"/>
      <c r="K47" s="136"/>
      <c r="L47" s="271"/>
      <c r="M47" s="136"/>
      <c r="N47" s="136"/>
      <c r="O47" s="136"/>
      <c r="P47" s="315"/>
      <c r="Q47" s="315"/>
      <c r="R47" s="315"/>
      <c r="S47" s="315"/>
      <c r="T47" s="315"/>
      <c r="U47" s="315"/>
    </row>
    <row r="48" spans="1:21" x14ac:dyDescent="0.25">
      <c r="A48" s="52">
        <f>IF(COUNTBLANK(B48)=1," ",COUNTA($B$12:B48))</f>
        <v>29</v>
      </c>
      <c r="B48" s="9" t="s">
        <v>14</v>
      </c>
      <c r="C48" s="736" t="s">
        <v>468</v>
      </c>
      <c r="D48" s="736"/>
      <c r="E48" s="736"/>
      <c r="F48" s="743"/>
      <c r="G48" s="312"/>
      <c r="H48" s="53" t="s">
        <v>17</v>
      </c>
      <c r="I48" s="629">
        <v>4.3795999999999999</v>
      </c>
      <c r="J48" s="743"/>
      <c r="K48" s="312"/>
      <c r="L48" s="516"/>
      <c r="M48" s="312"/>
      <c r="N48" s="444"/>
      <c r="O48" s="312"/>
      <c r="P48" s="315"/>
      <c r="Q48" s="315"/>
      <c r="R48" s="315"/>
      <c r="S48" s="315"/>
      <c r="T48" s="315"/>
      <c r="U48" s="315"/>
    </row>
    <row r="49" spans="1:21" x14ac:dyDescent="0.25">
      <c r="A49" s="52">
        <f>IF(COUNTBLANK(B49)=1," ",COUNTA($B$12:B49))</f>
        <v>30</v>
      </c>
      <c r="B49" s="9" t="s">
        <v>14</v>
      </c>
      <c r="C49" s="736" t="s">
        <v>469</v>
      </c>
      <c r="D49" s="736"/>
      <c r="E49" s="736"/>
      <c r="F49" s="736"/>
      <c r="G49" s="736"/>
      <c r="H49" s="53" t="str">
        <f>H48</f>
        <v>m²</v>
      </c>
      <c r="I49" s="629">
        <v>4.6673</v>
      </c>
      <c r="J49" s="743"/>
      <c r="K49" s="312"/>
      <c r="L49" s="516"/>
      <c r="M49" s="312"/>
      <c r="N49" s="444"/>
      <c r="O49" s="312"/>
      <c r="P49" s="315"/>
      <c r="Q49" s="315"/>
      <c r="R49" s="315"/>
      <c r="S49" s="315"/>
      <c r="T49" s="315"/>
      <c r="U49" s="315"/>
    </row>
    <row r="50" spans="1:21" x14ac:dyDescent="0.25">
      <c r="A50" s="52" t="str">
        <f>IF(COUNTBLANK(B50)=1," ",COUNTA($B$12:B50))</f>
        <v xml:space="preserve"> </v>
      </c>
      <c r="B50" s="394"/>
      <c r="C50" s="729" t="s">
        <v>477</v>
      </c>
      <c r="D50" s="394"/>
      <c r="E50" s="394"/>
      <c r="F50" s="461"/>
      <c r="G50" s="394"/>
      <c r="H50" s="394"/>
      <c r="I50" s="394"/>
      <c r="J50" s="394"/>
      <c r="K50" s="394"/>
      <c r="L50" s="394"/>
      <c r="M50" s="394"/>
      <c r="N50" s="394"/>
      <c r="O50" s="394"/>
      <c r="P50" s="315"/>
      <c r="Q50" s="315"/>
      <c r="R50" s="315"/>
      <c r="S50" s="315"/>
      <c r="T50" s="315"/>
      <c r="U50" s="315"/>
    </row>
    <row r="51" spans="1:21" x14ac:dyDescent="0.25">
      <c r="A51" s="52" t="str">
        <f>IF(COUNTBLANK(B51)=1," ",COUNTA($B$12:B51))</f>
        <v xml:space="preserve"> </v>
      </c>
      <c r="B51" s="743"/>
      <c r="C51" s="631" t="s">
        <v>478</v>
      </c>
      <c r="D51" s="742" t="s">
        <v>479</v>
      </c>
      <c r="E51" s="742" t="s">
        <v>479</v>
      </c>
      <c r="F51" s="742" t="s">
        <v>490</v>
      </c>
      <c r="G51" s="729" t="s">
        <v>118</v>
      </c>
      <c r="H51" s="394"/>
      <c r="I51" s="729"/>
      <c r="J51" s="729"/>
      <c r="K51" s="729"/>
      <c r="L51" s="729"/>
      <c r="M51" s="742"/>
      <c r="N51" s="742"/>
      <c r="O51" s="742"/>
      <c r="P51" s="315"/>
      <c r="Q51" s="315"/>
      <c r="R51" s="315"/>
      <c r="S51" s="315"/>
      <c r="T51" s="315"/>
      <c r="U51" s="315"/>
    </row>
    <row r="52" spans="1:21" x14ac:dyDescent="0.25">
      <c r="A52" s="52">
        <f>IF(COUNTBLANK(B52)=1," ",COUNTA($B$12:B52))</f>
        <v>31</v>
      </c>
      <c r="B52" s="9" t="s">
        <v>14</v>
      </c>
      <c r="C52" s="128" t="s">
        <v>480</v>
      </c>
      <c r="D52" s="742"/>
      <c r="E52" s="742" t="s">
        <v>479</v>
      </c>
      <c r="F52" s="742"/>
      <c r="G52" s="742"/>
      <c r="H52" s="742" t="s">
        <v>491</v>
      </c>
      <c r="I52" s="742">
        <v>0.11799999999999999</v>
      </c>
      <c r="J52" s="742"/>
      <c r="K52" s="312"/>
      <c r="L52" s="516"/>
      <c r="M52" s="312"/>
      <c r="N52" s="444"/>
      <c r="O52" s="312"/>
      <c r="P52" s="315"/>
      <c r="Q52" s="315"/>
      <c r="R52" s="315"/>
      <c r="S52" s="315"/>
      <c r="T52" s="315"/>
      <c r="U52" s="315"/>
    </row>
    <row r="53" spans="1:21" x14ac:dyDescent="0.25">
      <c r="A53" s="52">
        <f>IF(COUNTBLANK(B53)=1," ",COUNTA($B$12:B53))</f>
        <v>32</v>
      </c>
      <c r="B53" s="9" t="s">
        <v>14</v>
      </c>
      <c r="C53" s="128" t="s">
        <v>481</v>
      </c>
      <c r="D53" s="742"/>
      <c r="E53" s="742"/>
      <c r="F53" s="128">
        <v>268</v>
      </c>
      <c r="G53" s="128">
        <v>5</v>
      </c>
      <c r="H53" s="742" t="s">
        <v>491</v>
      </c>
      <c r="I53" s="742">
        <f>G53*F53/1000</f>
        <v>1.34</v>
      </c>
      <c r="J53" s="742"/>
      <c r="K53" s="312"/>
      <c r="L53" s="516"/>
      <c r="M53" s="312"/>
      <c r="N53" s="444"/>
      <c r="O53" s="312"/>
      <c r="P53" s="315"/>
      <c r="Q53" s="315"/>
      <c r="R53" s="315"/>
      <c r="S53" s="315"/>
      <c r="T53" s="315"/>
      <c r="U53" s="315"/>
    </row>
    <row r="54" spans="1:21" x14ac:dyDescent="0.25">
      <c r="A54" s="52">
        <f>IF(COUNTBLANK(B54)=1," ",COUNTA($B$12:B54))</f>
        <v>33</v>
      </c>
      <c r="B54" s="9" t="s">
        <v>14</v>
      </c>
      <c r="C54" s="128" t="s">
        <v>482</v>
      </c>
      <c r="D54" s="742"/>
      <c r="E54" s="742"/>
      <c r="F54" s="128">
        <v>114</v>
      </c>
      <c r="G54" s="128">
        <v>3</v>
      </c>
      <c r="H54" s="742" t="s">
        <v>491</v>
      </c>
      <c r="I54" s="742">
        <f t="shared" ref="I54:I61" si="2">G54*F54/1000</f>
        <v>0.34200000000000003</v>
      </c>
      <c r="J54" s="742"/>
      <c r="K54" s="312"/>
      <c r="L54" s="516"/>
      <c r="M54" s="312"/>
      <c r="N54" s="444"/>
      <c r="O54" s="312"/>
      <c r="P54" s="315"/>
      <c r="Q54" s="315"/>
      <c r="R54" s="315"/>
      <c r="S54" s="315"/>
      <c r="T54" s="315"/>
      <c r="U54" s="315"/>
    </row>
    <row r="55" spans="1:21" x14ac:dyDescent="0.25">
      <c r="A55" s="52">
        <f>IF(COUNTBLANK(B55)=1," ",COUNTA($B$12:B55))</f>
        <v>34</v>
      </c>
      <c r="B55" s="9" t="s">
        <v>14</v>
      </c>
      <c r="C55" s="128" t="s">
        <v>483</v>
      </c>
      <c r="D55" s="742"/>
      <c r="E55" s="742"/>
      <c r="F55" s="128">
        <v>272</v>
      </c>
      <c r="G55" s="128">
        <v>3</v>
      </c>
      <c r="H55" s="742" t="s">
        <v>491</v>
      </c>
      <c r="I55" s="742">
        <f t="shared" si="2"/>
        <v>0.81599999999999995</v>
      </c>
      <c r="J55" s="742"/>
      <c r="K55" s="312"/>
      <c r="L55" s="516"/>
      <c r="M55" s="312"/>
      <c r="N55" s="444"/>
      <c r="O55" s="312"/>
      <c r="P55" s="315"/>
      <c r="Q55" s="315"/>
      <c r="R55" s="315"/>
      <c r="S55" s="315"/>
      <c r="T55" s="315"/>
      <c r="U55" s="315"/>
    </row>
    <row r="56" spans="1:21" x14ac:dyDescent="0.25">
      <c r="A56" s="52">
        <f>IF(COUNTBLANK(B56)=1," ",COUNTA($B$12:B56))</f>
        <v>35</v>
      </c>
      <c r="B56" s="9" t="s">
        <v>14</v>
      </c>
      <c r="C56" s="128" t="s">
        <v>484</v>
      </c>
      <c r="D56" s="742"/>
      <c r="E56" s="742"/>
      <c r="F56" s="128">
        <v>42</v>
      </c>
      <c r="G56" s="128">
        <v>14</v>
      </c>
      <c r="H56" s="742" t="s">
        <v>491</v>
      </c>
      <c r="I56" s="742">
        <f t="shared" si="2"/>
        <v>0.58799999999999997</v>
      </c>
      <c r="J56" s="742"/>
      <c r="K56" s="312"/>
      <c r="L56" s="516"/>
      <c r="M56" s="312"/>
      <c r="N56" s="444"/>
      <c r="O56" s="312"/>
      <c r="P56" s="315"/>
      <c r="Q56" s="315"/>
      <c r="R56" s="315"/>
      <c r="S56" s="315"/>
      <c r="T56" s="315"/>
      <c r="U56" s="315"/>
    </row>
    <row r="57" spans="1:21" x14ac:dyDescent="0.25">
      <c r="A57" s="52">
        <f>IF(COUNTBLANK(B57)=1," ",COUNTA($B$12:B57))</f>
        <v>36</v>
      </c>
      <c r="B57" s="9" t="s">
        <v>14</v>
      </c>
      <c r="C57" s="128" t="s">
        <v>485</v>
      </c>
      <c r="D57" s="742"/>
      <c r="E57" s="742"/>
      <c r="F57" s="128">
        <v>12</v>
      </c>
      <c r="G57" s="128">
        <v>2</v>
      </c>
      <c r="H57" s="742" t="s">
        <v>491</v>
      </c>
      <c r="I57" s="742">
        <f t="shared" si="2"/>
        <v>2.4E-2</v>
      </c>
      <c r="J57" s="742"/>
      <c r="K57" s="312"/>
      <c r="L57" s="516"/>
      <c r="M57" s="312"/>
      <c r="N57" s="444"/>
      <c r="O57" s="312"/>
      <c r="P57" s="315"/>
      <c r="Q57" s="315"/>
      <c r="R57" s="315"/>
      <c r="S57" s="315"/>
      <c r="T57" s="315"/>
      <c r="U57" s="315"/>
    </row>
    <row r="58" spans="1:21" x14ac:dyDescent="0.25">
      <c r="A58" s="52">
        <f>IF(COUNTBLANK(B58)=1," ",COUNTA($B$12:B58))</f>
        <v>37</v>
      </c>
      <c r="B58" s="9" t="s">
        <v>14</v>
      </c>
      <c r="C58" s="128" t="s">
        <v>486</v>
      </c>
      <c r="D58" s="742"/>
      <c r="E58" s="742"/>
      <c r="F58" s="128">
        <v>3</v>
      </c>
      <c r="G58" s="128">
        <v>1</v>
      </c>
      <c r="H58" s="742" t="s">
        <v>491</v>
      </c>
      <c r="I58" s="742">
        <f t="shared" si="2"/>
        <v>3.0000000000000001E-3</v>
      </c>
      <c r="J58" s="742"/>
      <c r="K58" s="312"/>
      <c r="L58" s="516"/>
      <c r="M58" s="312"/>
      <c r="N58" s="444"/>
      <c r="O58" s="312"/>
      <c r="P58" s="315"/>
      <c r="Q58" s="315"/>
      <c r="R58" s="315"/>
      <c r="S58" s="315"/>
      <c r="T58" s="315"/>
      <c r="U58" s="315"/>
    </row>
    <row r="59" spans="1:21" x14ac:dyDescent="0.25">
      <c r="A59" s="52">
        <f>IF(COUNTBLANK(B59)=1," ",COUNTA($B$12:B59))</f>
        <v>38</v>
      </c>
      <c r="B59" s="9" t="s">
        <v>14</v>
      </c>
      <c r="C59" s="128" t="s">
        <v>487</v>
      </c>
      <c r="D59" s="742"/>
      <c r="E59" s="742"/>
      <c r="F59" s="128">
        <v>5</v>
      </c>
      <c r="G59" s="128">
        <v>1</v>
      </c>
      <c r="H59" s="742" t="s">
        <v>491</v>
      </c>
      <c r="I59" s="742">
        <f t="shared" si="2"/>
        <v>5.0000000000000001E-3</v>
      </c>
      <c r="J59" s="742"/>
      <c r="K59" s="312"/>
      <c r="L59" s="516"/>
      <c r="M59" s="312"/>
      <c r="N59" s="444"/>
      <c r="O59" s="312"/>
      <c r="P59" s="315"/>
      <c r="Q59" s="315"/>
      <c r="R59" s="315"/>
      <c r="S59" s="315"/>
      <c r="T59" s="315"/>
      <c r="U59" s="315"/>
    </row>
    <row r="60" spans="1:21" x14ac:dyDescent="0.25">
      <c r="A60" s="52">
        <f>IF(COUNTBLANK(B60)=1," ",COUNTA($B$12:B60))</f>
        <v>39</v>
      </c>
      <c r="B60" s="9" t="s">
        <v>14</v>
      </c>
      <c r="C60" s="128" t="s">
        <v>488</v>
      </c>
      <c r="D60" s="742"/>
      <c r="E60" s="742"/>
      <c r="F60" s="128">
        <v>2</v>
      </c>
      <c r="G60" s="128">
        <v>1</v>
      </c>
      <c r="H60" s="742" t="s">
        <v>491</v>
      </c>
      <c r="I60" s="742">
        <f t="shared" si="2"/>
        <v>2E-3</v>
      </c>
      <c r="J60" s="742"/>
      <c r="K60" s="312"/>
      <c r="L60" s="516"/>
      <c r="M60" s="312"/>
      <c r="N60" s="444"/>
      <c r="O60" s="312"/>
      <c r="P60" s="315"/>
      <c r="Q60" s="315"/>
      <c r="R60" s="315"/>
      <c r="S60" s="315"/>
      <c r="T60" s="315"/>
      <c r="U60" s="315"/>
    </row>
    <row r="61" spans="1:21" x14ac:dyDescent="0.25">
      <c r="A61" s="52">
        <f>IF(COUNTBLANK(B61)=1," ",COUNTA($B$12:B61))</f>
        <v>40</v>
      </c>
      <c r="B61" s="9" t="s">
        <v>14</v>
      </c>
      <c r="C61" s="128" t="s">
        <v>489</v>
      </c>
      <c r="D61" s="742"/>
      <c r="E61" s="742"/>
      <c r="F61" s="128">
        <v>3</v>
      </c>
      <c r="G61" s="128">
        <v>2</v>
      </c>
      <c r="H61" s="742" t="s">
        <v>491</v>
      </c>
      <c r="I61" s="742">
        <f t="shared" si="2"/>
        <v>6.0000000000000001E-3</v>
      </c>
      <c r="J61" s="742"/>
      <c r="K61" s="312"/>
      <c r="L61" s="516"/>
      <c r="M61" s="312"/>
      <c r="N61" s="444"/>
      <c r="O61" s="312"/>
      <c r="P61" s="315"/>
      <c r="Q61" s="315"/>
      <c r="R61" s="315"/>
      <c r="S61" s="315"/>
      <c r="T61" s="315"/>
      <c r="U61" s="315"/>
    </row>
    <row r="62" spans="1:21" x14ac:dyDescent="0.25">
      <c r="A62" s="52">
        <f>IF(COUNTBLANK(B62)=1," ",COUNTA($B$12:B62))</f>
        <v>41</v>
      </c>
      <c r="B62" s="9" t="s">
        <v>14</v>
      </c>
      <c r="C62" s="357" t="s">
        <v>519</v>
      </c>
      <c r="D62" s="742"/>
      <c r="E62" s="742"/>
      <c r="F62" s="128" t="s">
        <v>479</v>
      </c>
      <c r="G62" s="128"/>
      <c r="H62" s="742" t="s">
        <v>26</v>
      </c>
      <c r="I62" s="742">
        <v>0.1</v>
      </c>
      <c r="J62" s="742"/>
      <c r="K62" s="34"/>
      <c r="L62" s="516"/>
      <c r="M62" s="34"/>
      <c r="N62" s="55"/>
      <c r="O62" s="34"/>
      <c r="P62" s="315"/>
      <c r="Q62" s="315"/>
      <c r="R62" s="315"/>
      <c r="S62" s="315"/>
      <c r="T62" s="315"/>
      <c r="U62" s="315"/>
    </row>
    <row r="63" spans="1:21" s="45" customFormat="1" x14ac:dyDescent="0.25">
      <c r="A63" s="52" t="str">
        <f>IF(COUNTBLANK(B63)=1," ",COUNTA($B$12:B63))</f>
        <v xml:space="preserve"> </v>
      </c>
      <c r="B63" s="742"/>
      <c r="C63" s="297" t="s">
        <v>229</v>
      </c>
      <c r="D63" s="742"/>
      <c r="E63" s="742"/>
      <c r="F63" s="632"/>
      <c r="G63" s="739"/>
      <c r="H63" s="742" t="s">
        <v>26</v>
      </c>
      <c r="I63" s="34">
        <f>I62*J63</f>
        <v>0.11000000000000001</v>
      </c>
      <c r="J63" s="34">
        <v>1.1000000000000001</v>
      </c>
      <c r="K63" s="513"/>
      <c r="L63" s="514"/>
      <c r="M63" s="513"/>
      <c r="N63" s="513"/>
      <c r="O63" s="515"/>
      <c r="P63" s="315"/>
      <c r="Q63" s="315"/>
      <c r="R63" s="315"/>
      <c r="S63" s="315"/>
      <c r="T63" s="315"/>
      <c r="U63" s="315"/>
    </row>
    <row r="64" spans="1:21" x14ac:dyDescent="0.25">
      <c r="A64" s="52" t="str">
        <f>IF(COUNTBLANK(B64)=1," ",COUNTA($B$12:B64))</f>
        <v xml:space="preserve"> </v>
      </c>
      <c r="B64" s="742"/>
      <c r="C64" s="743" t="s">
        <v>492</v>
      </c>
      <c r="D64" s="742"/>
      <c r="E64" s="101"/>
      <c r="F64" s="742"/>
      <c r="G64" s="742"/>
      <c r="H64" s="742"/>
      <c r="I64" s="742"/>
      <c r="J64" s="742"/>
      <c r="K64" s="742"/>
      <c r="L64" s="742"/>
      <c r="M64" s="742"/>
      <c r="N64" s="742"/>
      <c r="O64" s="742"/>
      <c r="P64" s="315"/>
      <c r="Q64" s="315"/>
      <c r="R64" s="315"/>
      <c r="S64" s="315"/>
      <c r="T64" s="315"/>
      <c r="U64" s="315"/>
    </row>
    <row r="65" spans="1:21" x14ac:dyDescent="0.25">
      <c r="A65" s="52" t="str">
        <f>IF(COUNTBLANK(B65)=1," ",COUNTA($B$12:B65))</f>
        <v xml:space="preserve"> </v>
      </c>
      <c r="B65" s="742"/>
      <c r="C65" s="128" t="s">
        <v>493</v>
      </c>
      <c r="D65" s="742" t="s">
        <v>479</v>
      </c>
      <c r="E65" s="742" t="s">
        <v>479</v>
      </c>
      <c r="F65" s="742" t="s">
        <v>494</v>
      </c>
      <c r="G65" s="742" t="s">
        <v>118</v>
      </c>
      <c r="H65" s="742"/>
      <c r="I65" s="742"/>
      <c r="J65" s="742"/>
      <c r="K65" s="742"/>
      <c r="L65" s="742"/>
      <c r="M65" s="742"/>
      <c r="N65" s="742"/>
      <c r="O65" s="742"/>
      <c r="P65" s="315"/>
      <c r="Q65" s="315"/>
      <c r="R65" s="315"/>
      <c r="S65" s="315"/>
      <c r="T65" s="315"/>
      <c r="U65" s="315"/>
    </row>
    <row r="66" spans="1:21" ht="22.5" x14ac:dyDescent="0.25">
      <c r="A66" s="52">
        <f>IF(COUNTBLANK(B66)=1," ",COUNTA($B$12:B66))</f>
        <v>42</v>
      </c>
      <c r="B66" s="9" t="s">
        <v>14</v>
      </c>
      <c r="C66" s="57" t="s">
        <v>495</v>
      </c>
      <c r="D66" s="742"/>
      <c r="E66" s="742"/>
      <c r="F66" s="742">
        <v>0.17</v>
      </c>
      <c r="G66" s="742">
        <v>4</v>
      </c>
      <c r="H66" s="742" t="s">
        <v>26</v>
      </c>
      <c r="I66" s="742">
        <f>G66*F66</f>
        <v>0.68</v>
      </c>
      <c r="J66" s="742"/>
      <c r="K66" s="34"/>
      <c r="L66" s="516"/>
      <c r="M66" s="34"/>
      <c r="N66" s="55"/>
      <c r="O66" s="34"/>
      <c r="P66" s="315"/>
      <c r="Q66" s="315"/>
      <c r="R66" s="315"/>
      <c r="S66" s="315"/>
      <c r="T66" s="315"/>
      <c r="U66" s="315"/>
    </row>
    <row r="67" spans="1:21" x14ac:dyDescent="0.25">
      <c r="A67" s="52" t="str">
        <f>IF(COUNTBLANK(B67)=1," ",COUNTA($B$12:B67))</f>
        <v xml:space="preserve"> </v>
      </c>
      <c r="B67" s="742"/>
      <c r="C67" s="297" t="s">
        <v>229</v>
      </c>
      <c r="D67" s="742"/>
      <c r="E67" s="742"/>
      <c r="F67" s="632"/>
      <c r="G67" s="739"/>
      <c r="H67" s="742" t="s">
        <v>26</v>
      </c>
      <c r="I67" s="34">
        <f>I66*J67</f>
        <v>0.74800000000000011</v>
      </c>
      <c r="J67" s="34">
        <v>1.1000000000000001</v>
      </c>
      <c r="K67" s="513"/>
      <c r="L67" s="514"/>
      <c r="M67" s="513"/>
      <c r="N67" s="513"/>
      <c r="O67" s="515"/>
      <c r="P67" s="315"/>
      <c r="Q67" s="315"/>
      <c r="R67" s="315"/>
      <c r="S67" s="315"/>
      <c r="T67" s="315"/>
      <c r="U67" s="315"/>
    </row>
    <row r="68" spans="1:21" x14ac:dyDescent="0.25">
      <c r="A68" s="52" t="str">
        <f>IF(COUNTBLANK(B68)=1," ",COUNTA($B$12:B68))</f>
        <v xml:space="preserve"> </v>
      </c>
      <c r="B68" s="742"/>
      <c r="C68" s="743" t="s">
        <v>496</v>
      </c>
      <c r="D68" s="743"/>
      <c r="E68" s="743"/>
      <c r="F68" s="462">
        <v>4.17</v>
      </c>
      <c r="G68" s="743">
        <f>G66</f>
        <v>4</v>
      </c>
      <c r="H68" s="742" t="s">
        <v>23</v>
      </c>
      <c r="I68" s="742">
        <f>G68*F68</f>
        <v>16.68</v>
      </c>
      <c r="J68" s="742"/>
      <c r="K68" s="742"/>
      <c r="L68" s="742"/>
      <c r="M68" s="742"/>
      <c r="N68" s="742"/>
      <c r="O68" s="742"/>
      <c r="P68" s="315"/>
      <c r="Q68" s="315"/>
      <c r="R68" s="315"/>
      <c r="S68" s="315"/>
      <c r="T68" s="315"/>
      <c r="U68" s="315"/>
    </row>
    <row r="69" spans="1:21" x14ac:dyDescent="0.25">
      <c r="A69" s="52" t="str">
        <f>IF(COUNTBLANK(B69)=1," ",COUNTA($B$12:B69))</f>
        <v xml:space="preserve"> </v>
      </c>
      <c r="B69" s="742"/>
      <c r="C69" s="743" t="s">
        <v>497</v>
      </c>
      <c r="D69" s="743"/>
      <c r="E69" s="743"/>
      <c r="F69" s="462">
        <v>9.6999999999999993</v>
      </c>
      <c r="G69" s="743">
        <f>G68</f>
        <v>4</v>
      </c>
      <c r="H69" s="742" t="s">
        <v>23</v>
      </c>
      <c r="I69" s="742">
        <f>G69*F69</f>
        <v>38.799999999999997</v>
      </c>
      <c r="J69" s="742"/>
      <c r="K69" s="742"/>
      <c r="L69" s="742"/>
      <c r="M69" s="742"/>
      <c r="N69" s="742"/>
      <c r="O69" s="742"/>
      <c r="P69" s="315"/>
      <c r="Q69" s="315"/>
      <c r="R69" s="315"/>
      <c r="S69" s="315"/>
      <c r="T69" s="315"/>
      <c r="U69" s="315"/>
    </row>
    <row r="70" spans="1:21" x14ac:dyDescent="0.25">
      <c r="A70" s="723"/>
      <c r="B70" s="723"/>
      <c r="C70" s="19"/>
      <c r="D70" s="19"/>
      <c r="E70" s="19"/>
      <c r="F70" s="19"/>
      <c r="G70" s="19"/>
      <c r="H70" s="723"/>
      <c r="J70" s="723"/>
      <c r="P70" s="723"/>
      <c r="Q70" s="723"/>
      <c r="R70" s="723"/>
      <c r="S70" s="723"/>
      <c r="T70" s="723"/>
      <c r="U70" s="723"/>
    </row>
    <row r="71" spans="1:21" x14ac:dyDescent="0.25">
      <c r="A71" s="413" t="str">
        <f>IF(COUNTBLANK(I71)=1," ",COUNTA($I71:I$97))</f>
        <v xml:space="preserve"> </v>
      </c>
      <c r="B71" s="37"/>
      <c r="C71" s="217" t="s">
        <v>179</v>
      </c>
      <c r="D71" s="23"/>
      <c r="E71" s="162"/>
      <c r="F71" s="162"/>
      <c r="G71" s="17"/>
      <c r="H71" s="162"/>
      <c r="I71" s="17"/>
      <c r="J71" s="17"/>
      <c r="K71" s="17"/>
      <c r="L71" s="17"/>
      <c r="M71" s="45"/>
      <c r="N71" s="45"/>
      <c r="O71" s="45"/>
      <c r="P71" s="45"/>
      <c r="Q71" s="20">
        <f>SUM(Q12:Q70)</f>
        <v>0</v>
      </c>
      <c r="R71" s="20">
        <f>SUM(R12:R70)</f>
        <v>0</v>
      </c>
      <c r="S71" s="20">
        <f>SUM(S12:S70)</f>
        <v>0</v>
      </c>
      <c r="T71" s="20">
        <f>SUM(T12:T70)</f>
        <v>0</v>
      </c>
      <c r="U71" s="20">
        <f>SUM(U12:U70)</f>
        <v>0</v>
      </c>
    </row>
    <row r="72" spans="1:21" x14ac:dyDescent="0.25">
      <c r="A72" s="413" t="str">
        <f>IF(COUNTBLANK(I72)=1," ",COUNTA($I72:I$97))</f>
        <v xml:space="preserve"> </v>
      </c>
      <c r="B72" s="39"/>
      <c r="C72" s="39"/>
      <c r="D72" s="94"/>
      <c r="E72" s="94"/>
      <c r="F72" s="94"/>
      <c r="G72" s="45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45"/>
      <c r="S72" s="45"/>
      <c r="T72" s="45"/>
      <c r="U72" s="45"/>
    </row>
    <row r="73" spans="1:21" x14ac:dyDescent="0.25">
      <c r="A73" s="413" t="str">
        <f>IF(COUNTBLANK(I73)=1," ",COUNTA($I73:I$97))</f>
        <v xml:space="preserve"> </v>
      </c>
      <c r="B73" s="140" t="str">
        <f>sas</f>
        <v>Sastādīja:</v>
      </c>
      <c r="C73" s="140"/>
      <c r="D73" s="140"/>
      <c r="E73" s="140"/>
      <c r="F73" s="94"/>
      <c r="G73" s="45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45"/>
      <c r="S73" s="45"/>
      <c r="T73" s="45"/>
      <c r="U73" s="45"/>
    </row>
    <row r="74" spans="1:21" x14ac:dyDescent="0.25">
      <c r="A74" s="413" t="str">
        <f>IF(COUNTBLANK(I74)=1," ",COUNTA($I74:I$97))</f>
        <v xml:space="preserve"> </v>
      </c>
      <c r="B74" s="140"/>
      <c r="C74" s="358" t="s">
        <v>145</v>
      </c>
      <c r="D74" s="140"/>
      <c r="E74" s="140"/>
      <c r="F74" s="94"/>
      <c r="G74" s="45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45"/>
      <c r="S74" s="45"/>
      <c r="T74" s="45"/>
      <c r="U74" s="45"/>
    </row>
    <row r="75" spans="1:21" x14ac:dyDescent="0.25">
      <c r="A75" s="413" t="str">
        <f>IF(COUNTBLANK(I75)=1," ",COUNTA($I75:I$97))</f>
        <v xml:space="preserve"> </v>
      </c>
      <c r="B75" s="161"/>
      <c r="C75" s="161"/>
      <c r="D75" s="140"/>
      <c r="E75" s="140"/>
      <c r="F75" s="94"/>
      <c r="G75" s="45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45"/>
      <c r="S75" s="45"/>
      <c r="T75" s="45"/>
      <c r="U75" s="45"/>
    </row>
    <row r="76" spans="1:21" x14ac:dyDescent="0.25">
      <c r="A76" s="413" t="str">
        <f>IF(COUNTBLANK(I76)=1," ",COUNTA($I76:I$97))</f>
        <v xml:space="preserve"> </v>
      </c>
      <c r="B76" s="140" t="str">
        <f>dat</f>
        <v>Tāme sastādīta 201__. gada __.____________</v>
      </c>
      <c r="C76" s="140"/>
      <c r="D76" s="140"/>
      <c r="E76" s="140"/>
      <c r="F76" s="94"/>
      <c r="G76" s="45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45"/>
      <c r="S76" s="45"/>
      <c r="T76" s="45"/>
      <c r="U76" s="45"/>
    </row>
    <row r="77" spans="1:21" x14ac:dyDescent="0.25">
      <c r="A77" s="413" t="str">
        <f>IF(COUNTBLANK(I77)=1," ",COUNTA($I77:I$97))</f>
        <v xml:space="preserve"> </v>
      </c>
      <c r="B77" s="161"/>
      <c r="C77" s="161"/>
      <c r="D77" s="100"/>
      <c r="E77" s="100"/>
      <c r="F77" s="45"/>
      <c r="G77" s="45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45"/>
      <c r="S77" s="45"/>
      <c r="T77" s="45"/>
      <c r="U77" s="45"/>
    </row>
    <row r="78" spans="1:21" x14ac:dyDescent="0.25">
      <c r="A78" s="413" t="str">
        <f>IF(COUNTBLANK(I78)=1," ",COUNTA($I78:I$97))</f>
        <v xml:space="preserve"> </v>
      </c>
      <c r="B78" s="140" t="s">
        <v>147</v>
      </c>
      <c r="C78" s="140"/>
      <c r="D78" s="100"/>
      <c r="E78" s="100"/>
      <c r="F78" s="45"/>
      <c r="G78" s="45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45"/>
      <c r="S78" s="45"/>
      <c r="T78" s="45"/>
      <c r="U78" s="45"/>
    </row>
    <row r="79" spans="1:21" x14ac:dyDescent="0.25">
      <c r="A79" s="413" t="str">
        <f>IF(COUNTBLANK(I79)=1," ",COUNTA($I79:I$97))</f>
        <v xml:space="preserve"> </v>
      </c>
      <c r="B79" s="140"/>
      <c r="C79" s="358" t="s">
        <v>145</v>
      </c>
      <c r="D79" s="100"/>
      <c r="E79" s="100"/>
      <c r="F79" s="45"/>
      <c r="G79" s="45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45"/>
      <c r="S79" s="45"/>
      <c r="T79" s="45"/>
      <c r="U79" s="45"/>
    </row>
    <row r="80" spans="1:21" x14ac:dyDescent="0.25">
      <c r="A80" s="413" t="str">
        <f>IF(COUNTBLANK(I80)=1," ",COUNTA($I80:I$97))</f>
        <v xml:space="preserve"> </v>
      </c>
      <c r="B80" s="161"/>
      <c r="C80" s="140" t="s">
        <v>148</v>
      </c>
      <c r="D80" s="100"/>
      <c r="E80" s="100"/>
      <c r="F80" s="100"/>
      <c r="G80" s="45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45"/>
      <c r="S80" s="45"/>
      <c r="T80" s="45"/>
      <c r="U80" s="45"/>
    </row>
    <row r="81" spans="1:21" x14ac:dyDescent="0.25">
      <c r="A81" s="723"/>
      <c r="B81" s="723"/>
      <c r="C81" s="19"/>
      <c r="D81" s="19"/>
      <c r="E81" s="19"/>
      <c r="F81" s="19"/>
      <c r="G81" s="19"/>
      <c r="H81" s="723"/>
      <c r="J81" s="723"/>
      <c r="K81" s="723"/>
      <c r="L81" s="723"/>
      <c r="M81" s="723"/>
      <c r="N81" s="723"/>
      <c r="O81" s="723"/>
      <c r="P81" s="723"/>
      <c r="Q81" s="723"/>
      <c r="R81" s="723"/>
      <c r="S81" s="723"/>
      <c r="T81" s="723"/>
      <c r="U81" s="723"/>
    </row>
    <row r="82" spans="1:21" x14ac:dyDescent="0.25">
      <c r="A82" s="723"/>
      <c r="B82" s="723"/>
      <c r="C82" s="19"/>
      <c r="D82" s="19"/>
      <c r="E82" s="19"/>
      <c r="F82" s="19"/>
      <c r="G82" s="19"/>
      <c r="H82" s="723"/>
      <c r="J82" s="723"/>
      <c r="K82" s="723"/>
      <c r="L82" s="723"/>
      <c r="M82" s="723"/>
      <c r="N82" s="723"/>
      <c r="O82" s="723"/>
      <c r="P82" s="723"/>
      <c r="Q82" s="723"/>
      <c r="R82" s="723"/>
      <c r="S82" s="723"/>
      <c r="T82" s="723"/>
      <c r="U82" s="723"/>
    </row>
    <row r="83" spans="1:21" x14ac:dyDescent="0.25">
      <c r="A83" s="723"/>
      <c r="B83" s="723"/>
      <c r="C83" s="19"/>
      <c r="D83" s="19"/>
      <c r="E83" s="19"/>
      <c r="F83" s="19"/>
      <c r="G83" s="19"/>
      <c r="H83" s="723"/>
      <c r="J83" s="723"/>
      <c r="K83" s="723"/>
      <c r="L83" s="723"/>
      <c r="M83" s="723"/>
      <c r="N83" s="723"/>
      <c r="O83" s="723"/>
      <c r="P83" s="723"/>
      <c r="Q83" s="723"/>
      <c r="R83" s="723"/>
      <c r="S83" s="723"/>
      <c r="T83" s="723"/>
      <c r="U83" s="723"/>
    </row>
    <row r="84" spans="1:21" x14ac:dyDescent="0.25">
      <c r="A84" s="723"/>
      <c r="B84" s="723"/>
      <c r="C84" s="19"/>
      <c r="D84" s="19"/>
      <c r="E84" s="19"/>
      <c r="F84" s="19"/>
      <c r="G84" s="19"/>
      <c r="H84" s="723"/>
      <c r="J84" s="723"/>
      <c r="K84" s="723"/>
      <c r="L84" s="723"/>
      <c r="M84" s="723"/>
      <c r="N84" s="723"/>
      <c r="O84" s="723"/>
      <c r="P84" s="723"/>
      <c r="Q84" s="723"/>
      <c r="R84" s="723"/>
      <c r="S84" s="723"/>
      <c r="T84" s="723"/>
      <c r="U84" s="723"/>
    </row>
    <row r="85" spans="1:21" x14ac:dyDescent="0.25">
      <c r="A85" s="723"/>
      <c r="B85" s="723"/>
      <c r="C85" s="19"/>
      <c r="D85" s="19"/>
      <c r="E85" s="19"/>
      <c r="F85" s="19"/>
      <c r="G85" s="19"/>
      <c r="H85" s="723"/>
      <c r="J85" s="723"/>
      <c r="K85" s="723"/>
      <c r="L85" s="723"/>
      <c r="M85" s="723"/>
      <c r="N85" s="723"/>
      <c r="O85" s="723"/>
      <c r="P85" s="723"/>
      <c r="Q85" s="723"/>
      <c r="R85" s="723"/>
      <c r="S85" s="723"/>
      <c r="T85" s="723"/>
      <c r="U85" s="723"/>
    </row>
    <row r="86" spans="1:21" x14ac:dyDescent="0.25">
      <c r="A86" s="723"/>
      <c r="B86" s="723"/>
      <c r="C86" s="19"/>
      <c r="D86" s="19"/>
      <c r="E86" s="19"/>
      <c r="F86" s="19"/>
      <c r="G86" s="19"/>
      <c r="H86" s="723"/>
      <c r="J86" s="723"/>
      <c r="K86" s="723"/>
      <c r="L86" s="723"/>
      <c r="M86" s="723"/>
      <c r="N86" s="723"/>
      <c r="O86" s="723"/>
      <c r="P86" s="723"/>
      <c r="Q86" s="723"/>
      <c r="R86" s="723"/>
      <c r="S86" s="723"/>
      <c r="T86" s="723"/>
      <c r="U86" s="723"/>
    </row>
    <row r="87" spans="1:21" x14ac:dyDescent="0.25">
      <c r="A87" s="723"/>
      <c r="B87" s="723"/>
      <c r="C87" s="19"/>
      <c r="D87" s="19"/>
      <c r="E87" s="19"/>
      <c r="F87" s="19"/>
      <c r="G87" s="19"/>
      <c r="H87" s="723"/>
      <c r="J87" s="723"/>
      <c r="K87" s="723"/>
      <c r="L87" s="723"/>
      <c r="M87" s="723"/>
      <c r="N87" s="723"/>
      <c r="O87" s="723"/>
      <c r="P87" s="723"/>
      <c r="Q87" s="723"/>
      <c r="R87" s="723"/>
      <c r="S87" s="723"/>
      <c r="T87" s="723"/>
      <c r="U87" s="723"/>
    </row>
    <row r="88" spans="1:21" x14ac:dyDescent="0.25">
      <c r="A88" s="723"/>
      <c r="B88" s="723"/>
      <c r="C88" s="19"/>
      <c r="D88" s="19"/>
      <c r="E88" s="19"/>
      <c r="F88" s="19"/>
      <c r="G88" s="19"/>
      <c r="H88" s="723"/>
      <c r="J88" s="723"/>
      <c r="K88" s="723"/>
      <c r="L88" s="723"/>
      <c r="M88" s="723"/>
      <c r="N88" s="723"/>
      <c r="O88" s="723"/>
      <c r="P88" s="723"/>
      <c r="Q88" s="723"/>
      <c r="R88" s="723"/>
      <c r="S88" s="723"/>
      <c r="T88" s="723"/>
      <c r="U88" s="723"/>
    </row>
  </sheetData>
  <autoFilter ref="A13:U69" xr:uid="{00000000-0009-0000-0000-000010000000}"/>
  <mergeCells count="14">
    <mergeCell ref="C37:C38"/>
    <mergeCell ref="C20:C21"/>
    <mergeCell ref="Q9:U9"/>
    <mergeCell ref="C11:G11"/>
    <mergeCell ref="D12:F12"/>
    <mergeCell ref="G12:G13"/>
    <mergeCell ref="C35:C36"/>
    <mergeCell ref="A1:K1"/>
    <mergeCell ref="A9:A10"/>
    <mergeCell ref="B9:B10"/>
    <mergeCell ref="C9:G10"/>
    <mergeCell ref="H9:H10"/>
    <mergeCell ref="I9:I10"/>
    <mergeCell ref="K9:P9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  <ignoredErrors>
    <ignoredError sqref="I2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HB144"/>
  <sheetViews>
    <sheetView view="pageBreakPreview" topLeftCell="A32" zoomScale="85" zoomScaleNormal="85" zoomScaleSheetLayoutView="85" workbookViewId="0">
      <selection activeCell="C52" sqref="C52"/>
    </sheetView>
  </sheetViews>
  <sheetFormatPr defaultColWidth="8.7109375" defaultRowHeight="11.25" x14ac:dyDescent="0.25"/>
  <cols>
    <col min="1" max="1" width="3.7109375" style="68" customWidth="1"/>
    <col min="2" max="2" width="4.42578125" style="75" customWidth="1"/>
    <col min="3" max="3" width="51.28515625" style="84" customWidth="1"/>
    <col min="4" max="4" width="8.5703125" style="733" customWidth="1"/>
    <col min="5" max="5" width="7.28515625" style="733" customWidth="1"/>
    <col min="6" max="6" width="4.42578125" style="75" hidden="1" customWidth="1"/>
    <col min="7" max="7" width="7.5703125" style="70" customWidth="1"/>
    <col min="8" max="9" width="7.5703125" style="75" customWidth="1"/>
    <col min="10" max="10" width="6" style="75" customWidth="1"/>
    <col min="11" max="14" width="7.5703125" style="75" customWidth="1"/>
    <col min="15" max="15" width="9.140625" style="75" customWidth="1"/>
    <col min="16" max="16" width="7.5703125" style="75" customWidth="1"/>
    <col min="17" max="17" width="10.42578125" style="75" customWidth="1"/>
    <col min="18" max="16384" width="8.7109375" style="75"/>
  </cols>
  <sheetData>
    <row r="1" spans="1:17" s="67" customFormat="1" ht="12" thickBot="1" x14ac:dyDescent="0.3">
      <c r="A1" s="859" t="s">
        <v>6</v>
      </c>
      <c r="B1" s="859"/>
      <c r="C1" s="859"/>
      <c r="D1" s="859"/>
      <c r="E1" s="859"/>
      <c r="F1" s="859"/>
      <c r="G1" s="860"/>
      <c r="H1" s="1">
        <f>KPDV!A27</f>
        <v>15</v>
      </c>
      <c r="I1" s="64"/>
      <c r="J1" s="64"/>
      <c r="K1" s="64"/>
      <c r="L1" s="64"/>
      <c r="M1" s="64"/>
      <c r="N1" s="64"/>
      <c r="O1" s="64"/>
      <c r="P1" s="64"/>
      <c r="Q1" s="64"/>
    </row>
    <row r="2" spans="1:17" s="67" customFormat="1" x14ac:dyDescent="0.25">
      <c r="A2" s="396"/>
      <c r="B2" s="746"/>
      <c r="C2" s="666" t="s">
        <v>403</v>
      </c>
      <c r="D2" s="746"/>
      <c r="E2" s="746"/>
      <c r="F2" s="746"/>
      <c r="G2" s="196"/>
      <c r="H2" s="184"/>
      <c r="I2" s="64"/>
      <c r="J2" s="64"/>
      <c r="K2" s="64"/>
      <c r="L2" s="64"/>
      <c r="M2" s="64"/>
      <c r="N2" s="64"/>
      <c r="O2" s="64"/>
      <c r="P2" s="64"/>
      <c r="Q2" s="64"/>
    </row>
    <row r="3" spans="1:17" s="67" customFormat="1" x14ac:dyDescent="0.25">
      <c r="A3" s="190" t="str">
        <f>nos</f>
        <v>Būves nosaukums:  Dzīvojamās māja</v>
      </c>
      <c r="B3" s="197"/>
      <c r="C3" s="198"/>
      <c r="D3" s="199"/>
      <c r="E3" s="199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7" s="67" customFormat="1" x14ac:dyDescent="0.25">
      <c r="A4" s="168" t="str">
        <f>obj</f>
        <v>Objekta nosaukums: Dzīvojamās ēkas fasādes vienkāršota atjaunošana</v>
      </c>
      <c r="B4" s="197"/>
      <c r="C4" s="198"/>
      <c r="D4" s="199"/>
      <c r="E4" s="199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7" s="67" customFormat="1" x14ac:dyDescent="0.25">
      <c r="A5" s="168" t="str">
        <f>adres</f>
        <v>Objekta adrese: Aisteres iela 7, Liepājā</v>
      </c>
      <c r="B5" s="197"/>
      <c r="C5" s="198"/>
      <c r="D5" s="199"/>
      <c r="E5" s="199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200"/>
    </row>
    <row r="6" spans="1:17" s="67" customFormat="1" ht="12" thickBot="1" x14ac:dyDescent="0.3">
      <c r="A6" s="168" t="str">
        <f>nr</f>
        <v>Pasūtījuma Nr.WS-41-17</v>
      </c>
      <c r="B6" s="197"/>
      <c r="C6" s="198"/>
      <c r="D6" s="199"/>
      <c r="E6" s="199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</row>
    <row r="7" spans="1:17" s="67" customFormat="1" ht="12" thickBot="1" x14ac:dyDescent="0.3">
      <c r="A7" s="190"/>
      <c r="B7" s="7"/>
      <c r="C7" s="186" t="s">
        <v>695</v>
      </c>
      <c r="D7" s="162"/>
      <c r="E7" s="171" t="s">
        <v>721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6" t="e">
        <f>#REF!</f>
        <v>#REF!</v>
      </c>
    </row>
    <row r="8" spans="1:17" s="67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201"/>
    </row>
    <row r="9" spans="1:17" s="734" customFormat="1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734" customFormat="1" ht="51.75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68" customFormat="1" x14ac:dyDescent="0.25">
      <c r="A11" s="397">
        <v>1</v>
      </c>
      <c r="B11" s="235">
        <f>A11+1</f>
        <v>2</v>
      </c>
      <c r="C11" s="236">
        <f>B11+1</f>
        <v>3</v>
      </c>
      <c r="D11" s="235">
        <f>C11+1</f>
        <v>4</v>
      </c>
      <c r="E11" s="235">
        <f>D11+1</f>
        <v>5</v>
      </c>
      <c r="F11" s="235"/>
      <c r="G11" s="235">
        <f>E11+1</f>
        <v>6</v>
      </c>
      <c r="H11" s="235">
        <f t="shared" ref="H11:Q11" si="0">G11+1</f>
        <v>7</v>
      </c>
      <c r="I11" s="235">
        <f t="shared" si="0"/>
        <v>8</v>
      </c>
      <c r="J11" s="235">
        <f t="shared" si="0"/>
        <v>9</v>
      </c>
      <c r="K11" s="235">
        <f t="shared" si="0"/>
        <v>10</v>
      </c>
      <c r="L11" s="235">
        <f t="shared" si="0"/>
        <v>11</v>
      </c>
      <c r="M11" s="235">
        <f t="shared" si="0"/>
        <v>12</v>
      </c>
      <c r="N11" s="235">
        <f t="shared" si="0"/>
        <v>13</v>
      </c>
      <c r="O11" s="235">
        <f t="shared" si="0"/>
        <v>14</v>
      </c>
      <c r="P11" s="235">
        <f t="shared" si="0"/>
        <v>15</v>
      </c>
      <c r="Q11" s="235">
        <f t="shared" si="0"/>
        <v>16</v>
      </c>
    </row>
    <row r="12" spans="1:17" s="2" customFormat="1" x14ac:dyDescent="0.25">
      <c r="A12" s="57" t="str">
        <f>IF(COUNTBLANK(B12)=1," ",COUNTA($B$12:B12))</f>
        <v xml:space="preserve"> </v>
      </c>
      <c r="B12" s="9"/>
      <c r="C12" s="85" t="s">
        <v>243</v>
      </c>
      <c r="D12" s="140"/>
      <c r="E12" s="140"/>
      <c r="F12" s="136"/>
      <c r="G12" s="136"/>
      <c r="H12" s="136"/>
      <c r="I12" s="12"/>
      <c r="J12" s="12"/>
      <c r="K12" s="136"/>
      <c r="L12" s="11"/>
      <c r="M12" s="11"/>
      <c r="N12" s="11"/>
      <c r="O12" s="11"/>
      <c r="P12" s="11"/>
      <c r="Q12" s="11"/>
    </row>
    <row r="13" spans="1:17" s="3" customFormat="1" ht="22.5" x14ac:dyDescent="0.25">
      <c r="A13" s="57">
        <f>IF(COUNTBLANK(B13)=1," ",COUNTA($B$12:B13))</f>
        <v>1</v>
      </c>
      <c r="B13" s="9" t="s">
        <v>14</v>
      </c>
      <c r="C13" s="14" t="s">
        <v>244</v>
      </c>
      <c r="D13" s="670" t="s">
        <v>17</v>
      </c>
      <c r="E13" s="742">
        <f>0.7*3</f>
        <v>2.0999999999999996</v>
      </c>
      <c r="F13" s="136"/>
      <c r="G13" s="437"/>
      <c r="H13" s="271"/>
      <c r="I13" s="438"/>
      <c r="J13" s="439"/>
      <c r="K13" s="438"/>
      <c r="L13" s="315"/>
      <c r="M13" s="315"/>
      <c r="N13" s="315"/>
      <c r="O13" s="315"/>
      <c r="P13" s="315"/>
      <c r="Q13" s="315"/>
    </row>
    <row r="14" spans="1:17" s="96" customFormat="1" x14ac:dyDescent="0.25">
      <c r="A14" s="57">
        <f>IF(COUNTBLANK(B14)=1," ",COUNTA($B$12:B14))</f>
        <v>2</v>
      </c>
      <c r="B14" s="9" t="s">
        <v>14</v>
      </c>
      <c r="C14" s="14" t="s">
        <v>245</v>
      </c>
      <c r="D14" s="670" t="s">
        <v>17</v>
      </c>
      <c r="E14" s="101">
        <v>8.4</v>
      </c>
      <c r="F14" s="136"/>
      <c r="G14" s="437"/>
      <c r="H14" s="271"/>
      <c r="I14" s="438"/>
      <c r="J14" s="439"/>
      <c r="K14" s="438"/>
      <c r="L14" s="315"/>
      <c r="M14" s="315"/>
      <c r="N14" s="315"/>
      <c r="O14" s="315"/>
      <c r="P14" s="315"/>
      <c r="Q14" s="315"/>
    </row>
    <row r="15" spans="1:17" s="3" customFormat="1" x14ac:dyDescent="0.25">
      <c r="A15" s="57">
        <f>IF(COUNTBLANK(B15)=1," ",COUNTA($B$12:B15))</f>
        <v>3</v>
      </c>
      <c r="B15" s="9" t="s">
        <v>14</v>
      </c>
      <c r="C15" s="14" t="s">
        <v>246</v>
      </c>
      <c r="D15" s="670" t="s">
        <v>17</v>
      </c>
      <c r="E15" s="101">
        <v>7.2</v>
      </c>
      <c r="F15" s="136"/>
      <c r="G15" s="437"/>
      <c r="H15" s="271"/>
      <c r="I15" s="438"/>
      <c r="J15" s="439"/>
      <c r="K15" s="438"/>
      <c r="L15" s="315"/>
      <c r="M15" s="315"/>
      <c r="N15" s="315"/>
      <c r="O15" s="315"/>
      <c r="P15" s="315"/>
      <c r="Q15" s="315"/>
    </row>
    <row r="16" spans="1:17" s="3" customFormat="1" ht="22.5" x14ac:dyDescent="0.25">
      <c r="A16" s="57">
        <f>IF(COUNTBLANK(B16)=1," ",COUNTA($B$12:B16))</f>
        <v>4</v>
      </c>
      <c r="B16" s="9" t="s">
        <v>14</v>
      </c>
      <c r="C16" s="14" t="s">
        <v>247</v>
      </c>
      <c r="D16" s="670" t="s">
        <v>17</v>
      </c>
      <c r="E16" s="101">
        <v>23.2</v>
      </c>
      <c r="F16" s="136"/>
      <c r="G16" s="437"/>
      <c r="H16" s="271"/>
      <c r="I16" s="438"/>
      <c r="J16" s="439"/>
      <c r="K16" s="438"/>
      <c r="L16" s="315"/>
      <c r="M16" s="315"/>
      <c r="N16" s="315"/>
      <c r="O16" s="315"/>
      <c r="P16" s="315"/>
      <c r="Q16" s="315"/>
    </row>
    <row r="17" spans="1:210" s="3" customFormat="1" ht="22.5" x14ac:dyDescent="0.25">
      <c r="A17" s="57">
        <f>IF(COUNTBLANK(B17)=1," ",COUNTA($B$12:B17))</f>
        <v>5</v>
      </c>
      <c r="B17" s="9" t="s">
        <v>14</v>
      </c>
      <c r="C17" s="14" t="s">
        <v>248</v>
      </c>
      <c r="D17" s="670" t="s">
        <v>17</v>
      </c>
      <c r="E17" s="101">
        <v>23.2</v>
      </c>
      <c r="F17" s="316"/>
      <c r="G17" s="211"/>
      <c r="H17" s="271"/>
      <c r="I17" s="438"/>
      <c r="J17" s="439"/>
      <c r="K17" s="438"/>
      <c r="L17" s="315"/>
      <c r="M17" s="315"/>
      <c r="N17" s="315"/>
      <c r="O17" s="315"/>
      <c r="P17" s="315"/>
      <c r="Q17" s="31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  <c r="GU17" s="265"/>
      <c r="GV17" s="265"/>
    </row>
    <row r="18" spans="1:210" s="3" customFormat="1" x14ac:dyDescent="0.25">
      <c r="A18" s="57" t="str">
        <f>IF(COUNTBLANK(B18)=1," ",COUNTA($B$12:B18))</f>
        <v xml:space="preserve"> </v>
      </c>
      <c r="B18" s="9"/>
      <c r="C18" s="14" t="s">
        <v>229</v>
      </c>
      <c r="D18" s="290" t="s">
        <v>26</v>
      </c>
      <c r="E18" s="290">
        <f>E17*F18</f>
        <v>0.69599999999999995</v>
      </c>
      <c r="F18" s="290">
        <v>0.03</v>
      </c>
      <c r="G18" s="34"/>
      <c r="H18" s="271"/>
      <c r="I18" s="34"/>
      <c r="J18" s="55"/>
      <c r="K18" s="438"/>
      <c r="L18" s="315"/>
      <c r="M18" s="315"/>
      <c r="N18" s="315"/>
      <c r="O18" s="315"/>
      <c r="P18" s="315"/>
      <c r="Q18" s="31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  <c r="EK18" s="265"/>
      <c r="EL18" s="265"/>
      <c r="EM18" s="265"/>
      <c r="EN18" s="265"/>
      <c r="EO18" s="265"/>
      <c r="EP18" s="265"/>
      <c r="EQ18" s="265"/>
      <c r="ER18" s="265"/>
      <c r="ES18" s="265"/>
      <c r="ET18" s="265"/>
      <c r="EU18" s="265"/>
      <c r="EV18" s="265"/>
      <c r="EW18" s="265"/>
      <c r="EX18" s="265"/>
      <c r="EY18" s="265"/>
      <c r="EZ18" s="265"/>
      <c r="FA18" s="265"/>
      <c r="FB18" s="265"/>
      <c r="FC18" s="265"/>
      <c r="FD18" s="265"/>
      <c r="FE18" s="265"/>
      <c r="FF18" s="265"/>
      <c r="FG18" s="265"/>
      <c r="FH18" s="265"/>
      <c r="FI18" s="265"/>
      <c r="FJ18" s="265"/>
      <c r="FK18" s="265"/>
      <c r="FL18" s="265"/>
      <c r="FM18" s="265"/>
      <c r="FN18" s="265"/>
      <c r="FO18" s="265"/>
      <c r="FP18" s="265"/>
      <c r="FQ18" s="265"/>
      <c r="FR18" s="265"/>
      <c r="FS18" s="265"/>
      <c r="FT18" s="265"/>
      <c r="FU18" s="265"/>
      <c r="FV18" s="265"/>
      <c r="FW18" s="265"/>
      <c r="FX18" s="265"/>
      <c r="FY18" s="265"/>
      <c r="FZ18" s="265"/>
      <c r="GA18" s="265"/>
      <c r="GB18" s="265"/>
      <c r="GC18" s="265"/>
      <c r="GD18" s="265"/>
      <c r="GE18" s="265"/>
      <c r="GF18" s="265"/>
      <c r="GG18" s="265"/>
      <c r="GH18" s="265"/>
      <c r="GI18" s="265"/>
      <c r="GJ18" s="265"/>
      <c r="GK18" s="265"/>
      <c r="GL18" s="265"/>
      <c r="GM18" s="265"/>
      <c r="GN18" s="265"/>
      <c r="GO18" s="265"/>
      <c r="GP18" s="265"/>
      <c r="GQ18" s="265"/>
      <c r="GR18" s="265"/>
      <c r="GS18" s="265"/>
      <c r="GT18" s="265"/>
      <c r="GU18" s="265"/>
      <c r="GV18" s="265"/>
    </row>
    <row r="19" spans="1:210" s="3" customFormat="1" ht="15" x14ac:dyDescent="0.25">
      <c r="A19" s="57">
        <f>IF(COUNTBLANK(B19)=1," ",COUNTA($B$12:B19))</f>
        <v>6</v>
      </c>
      <c r="B19" s="9" t="s">
        <v>14</v>
      </c>
      <c r="C19" s="14" t="s">
        <v>249</v>
      </c>
      <c r="D19" s="670" t="s">
        <v>17</v>
      </c>
      <c r="E19" s="101">
        <v>8</v>
      </c>
      <c r="F19" s="274"/>
      <c r="G19" s="437"/>
      <c r="H19" s="271"/>
      <c r="I19" s="438"/>
      <c r="J19" s="439"/>
      <c r="K19" s="438"/>
      <c r="L19" s="315"/>
      <c r="M19" s="315"/>
      <c r="N19" s="315"/>
      <c r="O19" s="315"/>
      <c r="P19" s="315"/>
      <c r="Q19" s="315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  <c r="DO19" s="262"/>
      <c r="DP19" s="262"/>
      <c r="DQ19" s="262"/>
      <c r="DR19" s="262"/>
      <c r="DS19" s="262"/>
      <c r="DT19" s="262"/>
      <c r="DU19" s="262"/>
      <c r="DV19" s="262"/>
      <c r="DW19" s="262"/>
      <c r="DX19" s="262"/>
      <c r="DY19" s="262"/>
      <c r="DZ19" s="262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R19" s="262"/>
      <c r="ES19" s="262"/>
      <c r="ET19" s="262"/>
      <c r="EU19" s="262"/>
      <c r="EV19" s="262"/>
      <c r="EW19" s="262"/>
      <c r="EX19" s="262"/>
      <c r="EY19" s="262"/>
      <c r="EZ19" s="262"/>
      <c r="FA19" s="262"/>
      <c r="FB19" s="262"/>
      <c r="FC19" s="262"/>
      <c r="FD19" s="262"/>
      <c r="FE19" s="262"/>
      <c r="FF19" s="262"/>
      <c r="FG19" s="262"/>
      <c r="FH19" s="262"/>
      <c r="FI19" s="262"/>
      <c r="FJ19" s="262"/>
      <c r="FK19" s="262"/>
      <c r="FL19" s="262"/>
      <c r="FM19" s="262"/>
      <c r="FN19" s="262"/>
      <c r="FO19" s="262"/>
      <c r="FP19" s="262"/>
      <c r="FQ19" s="262"/>
      <c r="FR19" s="262"/>
      <c r="FS19" s="262"/>
      <c r="FT19" s="262"/>
      <c r="FU19" s="262"/>
      <c r="FV19" s="262"/>
      <c r="FW19" s="262"/>
      <c r="FX19" s="262"/>
      <c r="FY19" s="262"/>
      <c r="FZ19" s="262"/>
      <c r="GA19" s="262"/>
      <c r="GB19" s="262"/>
      <c r="GC19" s="262"/>
      <c r="GD19" s="262"/>
      <c r="GE19" s="262"/>
      <c r="GF19" s="262"/>
      <c r="GG19" s="262"/>
      <c r="GH19" s="262"/>
      <c r="GI19" s="262"/>
      <c r="GJ19" s="262"/>
      <c r="GK19" s="262"/>
      <c r="GL19" s="262"/>
      <c r="GM19" s="262"/>
      <c r="GN19" s="262"/>
      <c r="GO19" s="262"/>
      <c r="GP19" s="262"/>
      <c r="GQ19" s="262"/>
      <c r="GR19" s="262"/>
      <c r="GS19" s="262"/>
      <c r="GT19" s="262"/>
      <c r="GU19" s="262"/>
      <c r="GV19" s="262"/>
    </row>
    <row r="20" spans="1:210" s="94" customFormat="1" ht="22.5" x14ac:dyDescent="0.25">
      <c r="A20" s="57">
        <f>IF(COUNTBLANK(B20)=1," ",COUNTA($B$12:B20))</f>
        <v>7</v>
      </c>
      <c r="B20" s="9" t="s">
        <v>14</v>
      </c>
      <c r="C20" s="14" t="s">
        <v>250</v>
      </c>
      <c r="D20" s="670" t="s">
        <v>17</v>
      </c>
      <c r="E20" s="101">
        <v>8</v>
      </c>
      <c r="F20" s="210"/>
      <c r="G20" s="211"/>
      <c r="H20" s="271"/>
      <c r="I20" s="212"/>
      <c r="J20" s="212"/>
      <c r="K20" s="211"/>
      <c r="L20" s="315"/>
      <c r="M20" s="315"/>
      <c r="N20" s="315"/>
      <c r="O20" s="315"/>
      <c r="P20" s="315"/>
      <c r="Q20" s="315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</row>
    <row r="21" spans="1:210" s="94" customFormat="1" x14ac:dyDescent="0.25">
      <c r="A21" s="57" t="str">
        <f>IF(COUNTBLANK(B21)=1," ",COUNTA($B$12:B21))</f>
        <v xml:space="preserve"> </v>
      </c>
      <c r="B21" s="381"/>
      <c r="C21" s="14" t="s">
        <v>229</v>
      </c>
      <c r="D21" s="290" t="s">
        <v>26</v>
      </c>
      <c r="E21" s="290">
        <f>E20*F21</f>
        <v>0.96</v>
      </c>
      <c r="F21" s="290">
        <v>0.12</v>
      </c>
      <c r="G21" s="34"/>
      <c r="H21" s="271"/>
      <c r="I21" s="34"/>
      <c r="J21" s="55"/>
      <c r="K21" s="34"/>
      <c r="L21" s="315"/>
      <c r="M21" s="315"/>
      <c r="N21" s="315"/>
      <c r="O21" s="315"/>
      <c r="P21" s="315"/>
      <c r="Q21" s="315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</row>
    <row r="22" spans="1:210" s="94" customFormat="1" x14ac:dyDescent="0.25">
      <c r="A22" s="57">
        <f>IF(COUNTBLANK(B22)=1," ",COUNTA($B$12:B22))</f>
        <v>8</v>
      </c>
      <c r="B22" s="9" t="s">
        <v>14</v>
      </c>
      <c r="C22" s="14" t="s">
        <v>251</v>
      </c>
      <c r="D22" s="670" t="s">
        <v>17</v>
      </c>
      <c r="E22" s="101">
        <v>8</v>
      </c>
      <c r="F22" s="299"/>
      <c r="G22" s="34"/>
      <c r="H22" s="271"/>
      <c r="I22" s="34"/>
      <c r="J22" s="15"/>
      <c r="K22" s="34"/>
      <c r="L22" s="315"/>
      <c r="M22" s="315"/>
      <c r="N22" s="315"/>
      <c r="O22" s="315"/>
      <c r="P22" s="315"/>
      <c r="Q22" s="315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</row>
    <row r="23" spans="1:210" s="94" customFormat="1" x14ac:dyDescent="0.25">
      <c r="A23" s="57" t="str">
        <f>IF(COUNTBLANK(B23)=1," ",COUNTA($B$12:B23))</f>
        <v xml:space="preserve"> </v>
      </c>
      <c r="B23" s="300"/>
      <c r="C23" s="601" t="s">
        <v>221</v>
      </c>
      <c r="D23" s="290" t="s">
        <v>26</v>
      </c>
      <c r="E23" s="290">
        <f>E22*F23</f>
        <v>0.88</v>
      </c>
      <c r="F23" s="290">
        <v>0.11</v>
      </c>
      <c r="G23" s="34"/>
      <c r="H23" s="271"/>
      <c r="I23" s="34"/>
      <c r="J23" s="34"/>
      <c r="K23" s="34"/>
      <c r="L23" s="315"/>
      <c r="M23" s="315"/>
      <c r="N23" s="315"/>
      <c r="O23" s="315"/>
      <c r="P23" s="315"/>
      <c r="Q23" s="315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</row>
    <row r="24" spans="1:210" s="93" customFormat="1" x14ac:dyDescent="0.25">
      <c r="A24" s="57">
        <f>IF(COUNTBLANK(B24)=1," ",COUNTA($B$12:B24))</f>
        <v>9</v>
      </c>
      <c r="B24" s="9" t="s">
        <v>14</v>
      </c>
      <c r="C24" s="14" t="s">
        <v>252</v>
      </c>
      <c r="D24" s="670" t="s">
        <v>26</v>
      </c>
      <c r="E24" s="742">
        <v>3.3</v>
      </c>
      <c r="F24" s="136"/>
      <c r="G24" s="34"/>
      <c r="H24" s="271"/>
      <c r="I24" s="60"/>
      <c r="J24" s="34"/>
      <c r="K24" s="34"/>
      <c r="L24" s="315"/>
      <c r="M24" s="315"/>
      <c r="N24" s="315"/>
      <c r="O24" s="315"/>
      <c r="P24" s="315"/>
      <c r="Q24" s="315"/>
    </row>
    <row r="25" spans="1:210" s="93" customFormat="1" ht="22.5" x14ac:dyDescent="0.25">
      <c r="A25" s="57">
        <f>IF(COUNTBLANK(B25)=1," ",COUNTA($B$12:B25))</f>
        <v>10</v>
      </c>
      <c r="B25" s="9" t="s">
        <v>14</v>
      </c>
      <c r="C25" s="14" t="s">
        <v>253</v>
      </c>
      <c r="D25" s="670" t="s">
        <v>26</v>
      </c>
      <c r="E25" s="462">
        <v>0.6</v>
      </c>
      <c r="F25" s="136"/>
      <c r="G25" s="211"/>
      <c r="H25" s="271"/>
      <c r="I25" s="212"/>
      <c r="J25" s="212"/>
      <c r="K25" s="211"/>
      <c r="L25" s="315"/>
      <c r="M25" s="315"/>
      <c r="N25" s="315"/>
      <c r="O25" s="315"/>
      <c r="P25" s="315"/>
      <c r="Q25" s="315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</row>
    <row r="26" spans="1:210" s="93" customFormat="1" ht="22.5" x14ac:dyDescent="0.25">
      <c r="A26" s="57">
        <f>IF(COUNTBLANK(B26)=1," ",COUNTA($B$12:B26))</f>
        <v>11</v>
      </c>
      <c r="B26" s="9" t="s">
        <v>14</v>
      </c>
      <c r="C26" s="14" t="s">
        <v>254</v>
      </c>
      <c r="D26" s="670" t="s">
        <v>23</v>
      </c>
      <c r="E26" s="101">
        <f>54*0.222</f>
        <v>11.988</v>
      </c>
      <c r="F26" s="136"/>
      <c r="G26" s="211"/>
      <c r="H26" s="271"/>
      <c r="I26" s="212"/>
      <c r="J26" s="212"/>
      <c r="K26" s="211"/>
      <c r="L26" s="315"/>
      <c r="M26" s="315"/>
      <c r="N26" s="315"/>
      <c r="O26" s="315"/>
      <c r="P26" s="315"/>
      <c r="Q26" s="31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</row>
    <row r="27" spans="1:210" s="94" customFormat="1" x14ac:dyDescent="0.25">
      <c r="A27" s="57">
        <f>IF(COUNTBLANK(B27)=1," ",COUNTA($B$12:B27))</f>
        <v>12</v>
      </c>
      <c r="B27" s="9" t="s">
        <v>14</v>
      </c>
      <c r="C27" s="14" t="s">
        <v>255</v>
      </c>
      <c r="D27" s="670" t="s">
        <v>23</v>
      </c>
      <c r="E27" s="101">
        <f>81*0.42</f>
        <v>34.019999999999996</v>
      </c>
      <c r="F27" s="743"/>
      <c r="G27" s="211"/>
      <c r="H27" s="271"/>
      <c r="I27" s="212"/>
      <c r="J27" s="212"/>
      <c r="K27" s="211"/>
      <c r="L27" s="315"/>
      <c r="M27" s="315"/>
      <c r="N27" s="315"/>
      <c r="O27" s="315"/>
      <c r="P27" s="315"/>
      <c r="Q27" s="315"/>
    </row>
    <row r="28" spans="1:210" s="94" customFormat="1" x14ac:dyDescent="0.25">
      <c r="A28" s="57">
        <f>IF(COUNTBLANK(B28)=1," ",COUNTA($B$12:B28))</f>
        <v>13</v>
      </c>
      <c r="B28" s="9" t="s">
        <v>14</v>
      </c>
      <c r="C28" s="14" t="s">
        <v>256</v>
      </c>
      <c r="D28" s="670" t="s">
        <v>26</v>
      </c>
      <c r="E28" s="742">
        <v>6</v>
      </c>
      <c r="F28" s="743"/>
      <c r="G28" s="211"/>
      <c r="H28" s="271"/>
      <c r="I28" s="212"/>
      <c r="J28" s="212"/>
      <c r="K28" s="211"/>
      <c r="L28" s="315"/>
      <c r="M28" s="315"/>
      <c r="N28" s="315"/>
      <c r="O28" s="315"/>
      <c r="P28" s="315"/>
      <c r="Q28" s="315"/>
    </row>
    <row r="29" spans="1:210" s="94" customFormat="1" ht="22.5" x14ac:dyDescent="0.25">
      <c r="A29" s="57">
        <f>IF(COUNTBLANK(B29)=1," ",COUNTA($B$12:B29))</f>
        <v>14</v>
      </c>
      <c r="B29" s="9" t="s">
        <v>14</v>
      </c>
      <c r="C29" s="14" t="s">
        <v>257</v>
      </c>
      <c r="D29" s="670" t="s">
        <v>23</v>
      </c>
      <c r="E29" s="101">
        <f>6.3*2.48</f>
        <v>15.623999999999999</v>
      </c>
      <c r="F29" s="743"/>
      <c r="G29" s="211"/>
      <c r="H29" s="271"/>
      <c r="I29" s="212"/>
      <c r="J29" s="212"/>
      <c r="K29" s="211"/>
      <c r="L29" s="315"/>
      <c r="M29" s="315"/>
      <c r="N29" s="315"/>
      <c r="O29" s="315"/>
      <c r="P29" s="315"/>
      <c r="Q29" s="315"/>
    </row>
    <row r="30" spans="1:210" s="2" customFormat="1" ht="22.5" x14ac:dyDescent="0.25">
      <c r="A30" s="57">
        <f>IF(COUNTBLANK(B30)=1," ",COUNTA($B$12:B30))</f>
        <v>15</v>
      </c>
      <c r="B30" s="9" t="s">
        <v>14</v>
      </c>
      <c r="C30" s="14" t="s">
        <v>258</v>
      </c>
      <c r="D30" s="670" t="s">
        <v>32</v>
      </c>
      <c r="E30" s="101">
        <v>6</v>
      </c>
      <c r="F30" s="60"/>
      <c r="G30" s="211"/>
      <c r="H30" s="271"/>
      <c r="I30" s="212"/>
      <c r="J30" s="212"/>
      <c r="K30" s="211"/>
      <c r="L30" s="315"/>
      <c r="M30" s="315"/>
      <c r="N30" s="315"/>
      <c r="O30" s="315"/>
      <c r="P30" s="315"/>
      <c r="Q30" s="31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</row>
    <row r="31" spans="1:210" s="2" customFormat="1" ht="22.5" x14ac:dyDescent="0.25">
      <c r="A31" s="57">
        <f>IF(COUNTBLANK(B31)=1," ",COUNTA($B$12:B31))</f>
        <v>16</v>
      </c>
      <c r="B31" s="9" t="s">
        <v>14</v>
      </c>
      <c r="C31" s="14" t="s">
        <v>259</v>
      </c>
      <c r="D31" s="670" t="s">
        <v>65</v>
      </c>
      <c r="E31" s="742">
        <f>13.5*4</f>
        <v>54</v>
      </c>
      <c r="F31" s="211"/>
      <c r="G31" s="60"/>
      <c r="H31" s="271"/>
      <c r="I31" s="15"/>
      <c r="J31" s="15"/>
      <c r="K31" s="60"/>
      <c r="L31" s="315"/>
      <c r="M31" s="315"/>
      <c r="N31" s="315"/>
      <c r="O31" s="315"/>
      <c r="P31" s="315"/>
      <c r="Q31" s="315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</row>
    <row r="32" spans="1:210" s="2" customFormat="1" ht="12.75" x14ac:dyDescent="0.25">
      <c r="A32" s="57" t="str">
        <f>IF(COUNTBLANK(B32)=1," ",COUNTA($B$12:B32))</f>
        <v xml:space="preserve"> </v>
      </c>
      <c r="B32" s="210"/>
      <c r="C32" s="327" t="s">
        <v>435</v>
      </c>
      <c r="D32" s="210" t="s">
        <v>23</v>
      </c>
      <c r="E32" s="420">
        <f>E31*F32</f>
        <v>64.8</v>
      </c>
      <c r="F32" s="211">
        <v>1.2</v>
      </c>
      <c r="G32" s="671"/>
      <c r="H32" s="271"/>
      <c r="I32" s="671"/>
      <c r="J32" s="127"/>
      <c r="K32" s="671"/>
      <c r="L32" s="315"/>
      <c r="M32" s="315"/>
      <c r="N32" s="315"/>
      <c r="O32" s="315"/>
      <c r="P32" s="315"/>
      <c r="Q32" s="315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</row>
    <row r="33" spans="1:210" s="2" customFormat="1" x14ac:dyDescent="0.25">
      <c r="A33" s="57" t="str">
        <f>IF(COUNTBLANK(B33)=1," ",COUNTA($B$12:B33))</f>
        <v xml:space="preserve"> </v>
      </c>
      <c r="B33" s="210"/>
      <c r="C33" s="327" t="s">
        <v>39</v>
      </c>
      <c r="D33" s="210" t="s">
        <v>23</v>
      </c>
      <c r="E33" s="209">
        <f>ROUNDUP(E31*F33,0)</f>
        <v>33</v>
      </c>
      <c r="F33" s="211">
        <v>0.6</v>
      </c>
      <c r="G33" s="211"/>
      <c r="H33" s="271"/>
      <c r="I33" s="211"/>
      <c r="J33" s="211"/>
      <c r="K33" s="211"/>
      <c r="L33" s="315"/>
      <c r="M33" s="315"/>
      <c r="N33" s="315"/>
      <c r="O33" s="315"/>
      <c r="P33" s="315"/>
      <c r="Q33" s="315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</row>
    <row r="34" spans="1:210" s="3" customFormat="1" ht="22.5" x14ac:dyDescent="0.25">
      <c r="A34" s="57">
        <f>IF(COUNTBLANK(B34)=1," ",COUNTA($B$12:B34))</f>
        <v>17</v>
      </c>
      <c r="B34" s="9" t="s">
        <v>14</v>
      </c>
      <c r="C34" s="14" t="s">
        <v>897</v>
      </c>
      <c r="D34" s="670" t="s">
        <v>16</v>
      </c>
      <c r="E34" s="742">
        <v>18</v>
      </c>
      <c r="F34" s="136"/>
      <c r="G34" s="211"/>
      <c r="H34" s="271"/>
      <c r="I34" s="212"/>
      <c r="J34" s="212"/>
      <c r="K34" s="211"/>
      <c r="L34" s="315"/>
      <c r="M34" s="315"/>
      <c r="N34" s="315"/>
      <c r="O34" s="315"/>
      <c r="P34" s="315"/>
      <c r="Q34" s="315"/>
    </row>
    <row r="35" spans="1:210" s="96" customFormat="1" x14ac:dyDescent="0.25">
      <c r="A35" s="57" t="str">
        <f>IF(COUNTBLANK(B35)=1," ",COUNTA($B$12:B35))</f>
        <v xml:space="preserve"> </v>
      </c>
      <c r="B35" s="664"/>
      <c r="C35" s="672" t="s">
        <v>356</v>
      </c>
      <c r="D35" s="664"/>
      <c r="E35" s="665"/>
      <c r="F35" s="274"/>
      <c r="G35" s="136"/>
      <c r="H35" s="271"/>
      <c r="I35" s="136"/>
      <c r="J35" s="58"/>
      <c r="K35" s="58"/>
      <c r="L35" s="315"/>
      <c r="M35" s="315"/>
      <c r="N35" s="315"/>
      <c r="O35" s="315"/>
      <c r="P35" s="315"/>
      <c r="Q35" s="315"/>
    </row>
    <row r="36" spans="1:210" s="96" customFormat="1" x14ac:dyDescent="0.25">
      <c r="A36" s="57">
        <f>IF(COUNTBLANK(B36)=1," ",COUNTA($B$12:B36))</f>
        <v>18</v>
      </c>
      <c r="B36" s="9" t="s">
        <v>14</v>
      </c>
      <c r="C36" s="95" t="s">
        <v>357</v>
      </c>
      <c r="D36" s="743" t="s">
        <v>17</v>
      </c>
      <c r="E36" s="53">
        <f>0.4*10*4</f>
        <v>16</v>
      </c>
      <c r="F36" s="274"/>
      <c r="G36" s="437"/>
      <c r="H36" s="271"/>
      <c r="I36" s="438"/>
      <c r="J36" s="439"/>
      <c r="K36" s="438"/>
      <c r="L36" s="315"/>
      <c r="M36" s="315"/>
      <c r="N36" s="315"/>
      <c r="O36" s="315"/>
      <c r="P36" s="315"/>
      <c r="Q36" s="315"/>
    </row>
    <row r="37" spans="1:210" s="96" customFormat="1" ht="22.5" x14ac:dyDescent="0.25">
      <c r="A37" s="57">
        <f>IF(COUNTBLANK(B37)=1," ",COUNTA($B$12:B37))</f>
        <v>19</v>
      </c>
      <c r="B37" s="9" t="s">
        <v>14</v>
      </c>
      <c r="C37" s="95" t="s">
        <v>358</v>
      </c>
      <c r="D37" s="743" t="s">
        <v>17</v>
      </c>
      <c r="E37" s="53">
        <f>5.5*4</f>
        <v>22</v>
      </c>
      <c r="F37" s="274"/>
      <c r="G37" s="437"/>
      <c r="H37" s="271"/>
      <c r="I37" s="438"/>
      <c r="J37" s="439"/>
      <c r="K37" s="438"/>
      <c r="L37" s="315"/>
      <c r="M37" s="315"/>
      <c r="N37" s="315"/>
      <c r="O37" s="315"/>
      <c r="P37" s="315"/>
      <c r="Q37" s="315"/>
    </row>
    <row r="38" spans="1:210" s="96" customFormat="1" ht="22.5" x14ac:dyDescent="0.25">
      <c r="A38" s="57">
        <f>IF(COUNTBLANK(B38)=1," ",COUNTA($B$12:B38))</f>
        <v>20</v>
      </c>
      <c r="B38" s="9" t="s">
        <v>14</v>
      </c>
      <c r="C38" s="95" t="s">
        <v>359</v>
      </c>
      <c r="D38" s="743" t="s">
        <v>17</v>
      </c>
      <c r="E38" s="53">
        <v>20</v>
      </c>
      <c r="F38" s="274"/>
      <c r="G38" s="437"/>
      <c r="H38" s="271"/>
      <c r="I38" s="438"/>
      <c r="J38" s="439"/>
      <c r="K38" s="438"/>
      <c r="L38" s="315"/>
      <c r="M38" s="315"/>
      <c r="N38" s="315"/>
      <c r="O38" s="315"/>
      <c r="P38" s="315"/>
      <c r="Q38" s="315"/>
    </row>
    <row r="39" spans="1:210" s="96" customFormat="1" ht="22.5" x14ac:dyDescent="0.25">
      <c r="A39" s="57" t="str">
        <f>IF(COUNTBLANK(B39)=1," ",COUNTA($B$12:B39))</f>
        <v xml:space="preserve"> </v>
      </c>
      <c r="B39" s="743"/>
      <c r="C39" s="95" t="s">
        <v>360</v>
      </c>
      <c r="D39" s="743" t="s">
        <v>17</v>
      </c>
      <c r="E39" s="53">
        <v>20</v>
      </c>
      <c r="F39" s="274"/>
      <c r="G39" s="136"/>
      <c r="H39" s="271"/>
      <c r="I39" s="136"/>
      <c r="J39" s="58"/>
      <c r="K39" s="58"/>
      <c r="L39" s="315"/>
      <c r="M39" s="315"/>
      <c r="N39" s="315"/>
      <c r="O39" s="315"/>
      <c r="P39" s="315"/>
      <c r="Q39" s="315"/>
    </row>
    <row r="40" spans="1:210" s="96" customFormat="1" ht="15" x14ac:dyDescent="0.25">
      <c r="A40" s="57">
        <f>IF(COUNTBLANK(B40)=1," ",COUNTA($B$12:B40))</f>
        <v>21</v>
      </c>
      <c r="B40" s="9" t="s">
        <v>14</v>
      </c>
      <c r="C40" s="54" t="s">
        <v>361</v>
      </c>
      <c r="D40" s="743" t="s">
        <v>17</v>
      </c>
      <c r="E40" s="53">
        <v>20</v>
      </c>
      <c r="F40" s="274"/>
      <c r="G40" s="60"/>
      <c r="H40" s="271"/>
      <c r="I40" s="60"/>
      <c r="J40" s="60"/>
      <c r="K40" s="60"/>
      <c r="L40" s="315"/>
      <c r="M40" s="315"/>
      <c r="N40" s="315"/>
      <c r="O40" s="315"/>
      <c r="P40" s="315"/>
      <c r="Q40" s="315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262"/>
      <c r="DH40" s="262"/>
      <c r="DI40" s="262"/>
      <c r="DJ40" s="262"/>
      <c r="DK40" s="262"/>
      <c r="DL40" s="262"/>
      <c r="DM40" s="262"/>
      <c r="DN40" s="262"/>
      <c r="DO40" s="262"/>
      <c r="DP40" s="262"/>
      <c r="DQ40" s="262"/>
      <c r="DR40" s="262"/>
      <c r="DS40" s="262"/>
      <c r="DT40" s="262"/>
      <c r="DU40" s="262"/>
      <c r="DV40" s="262"/>
      <c r="DW40" s="262"/>
      <c r="DX40" s="262"/>
      <c r="DY40" s="262"/>
      <c r="DZ40" s="262"/>
      <c r="EA40" s="262"/>
      <c r="EB40" s="262"/>
      <c r="EC40" s="262"/>
      <c r="ED40" s="262"/>
      <c r="EE40" s="262"/>
      <c r="EF40" s="262"/>
      <c r="EG40" s="262"/>
      <c r="EH40" s="262"/>
      <c r="EI40" s="262"/>
      <c r="EJ40" s="262"/>
      <c r="EK40" s="262"/>
      <c r="EL40" s="262"/>
      <c r="EM40" s="262"/>
      <c r="EN40" s="262"/>
      <c r="EO40" s="262"/>
      <c r="EP40" s="262"/>
      <c r="EQ40" s="262"/>
      <c r="ER40" s="262"/>
      <c r="ES40" s="262"/>
      <c r="ET40" s="262"/>
      <c r="EU40" s="262"/>
      <c r="EV40" s="262"/>
      <c r="EW40" s="262"/>
      <c r="EX40" s="262"/>
      <c r="EY40" s="262"/>
      <c r="EZ40" s="262"/>
      <c r="FA40" s="262"/>
      <c r="FB40" s="262"/>
      <c r="FC40" s="262"/>
      <c r="FD40" s="262"/>
      <c r="FE40" s="262"/>
      <c r="FF40" s="262"/>
      <c r="FG40" s="262"/>
      <c r="FH40" s="262"/>
      <c r="FI40" s="262"/>
      <c r="FJ40" s="262"/>
      <c r="FK40" s="262"/>
      <c r="FL40" s="262"/>
      <c r="FM40" s="262"/>
      <c r="FN40" s="262"/>
      <c r="FO40" s="262"/>
      <c r="FP40" s="262"/>
      <c r="FQ40" s="262"/>
      <c r="FR40" s="262"/>
      <c r="FS40" s="262"/>
      <c r="FT40" s="262"/>
      <c r="FU40" s="262"/>
      <c r="FV40" s="262"/>
      <c r="FW40" s="262"/>
      <c r="FX40" s="262"/>
      <c r="FY40" s="262"/>
      <c r="FZ40" s="262"/>
      <c r="GA40" s="262"/>
      <c r="GB40" s="262"/>
      <c r="GC40" s="262"/>
      <c r="GD40" s="262"/>
      <c r="GE40" s="262"/>
      <c r="GF40" s="262"/>
      <c r="GG40" s="262"/>
      <c r="GH40" s="262"/>
      <c r="GI40" s="262"/>
      <c r="GJ40" s="262"/>
      <c r="GK40" s="262"/>
      <c r="GL40" s="262"/>
      <c r="GM40" s="262"/>
      <c r="GN40" s="262"/>
      <c r="GO40" s="262"/>
      <c r="GP40" s="262"/>
      <c r="GQ40" s="262"/>
      <c r="GR40" s="262"/>
      <c r="GS40" s="262"/>
      <c r="GT40" s="262"/>
      <c r="GU40" s="262"/>
      <c r="GV40" s="262"/>
      <c r="GW40" s="262"/>
      <c r="GX40" s="262"/>
      <c r="GY40" s="262"/>
      <c r="GZ40" s="262"/>
      <c r="HA40" s="262"/>
      <c r="HB40" s="262"/>
    </row>
    <row r="41" spans="1:210" s="96" customFormat="1" ht="15" x14ac:dyDescent="0.25">
      <c r="A41" s="57" t="str">
        <f>IF(COUNTBLANK(B41)=1," ",COUNTA($B$12:B41))</f>
        <v xml:space="preserve"> </v>
      </c>
      <c r="B41" s="286"/>
      <c r="C41" s="452" t="s">
        <v>898</v>
      </c>
      <c r="D41" s="743" t="s">
        <v>23</v>
      </c>
      <c r="E41" s="34">
        <f>ROUNDUP(E40*F41,2)</f>
        <v>34</v>
      </c>
      <c r="F41" s="274">
        <v>1.7</v>
      </c>
      <c r="G41" s="274"/>
      <c r="H41" s="271"/>
      <c r="I41" s="274"/>
      <c r="J41" s="274"/>
      <c r="K41" s="453"/>
      <c r="L41" s="315"/>
      <c r="M41" s="315"/>
      <c r="N41" s="315"/>
      <c r="O41" s="315"/>
      <c r="P41" s="315"/>
      <c r="Q41" s="315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2"/>
      <c r="BN41" s="262"/>
      <c r="BO41" s="262"/>
      <c r="BP41" s="262"/>
      <c r="BQ41" s="262"/>
      <c r="BR41" s="262"/>
      <c r="BS41" s="262"/>
      <c r="BT41" s="262"/>
      <c r="BU41" s="262"/>
      <c r="BV41" s="262"/>
      <c r="BW41" s="262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262"/>
      <c r="DH41" s="262"/>
      <c r="DI41" s="262"/>
      <c r="DJ41" s="262"/>
      <c r="DK41" s="262"/>
      <c r="DL41" s="262"/>
      <c r="DM41" s="262"/>
      <c r="DN41" s="262"/>
      <c r="DO41" s="262"/>
      <c r="DP41" s="262"/>
      <c r="DQ41" s="262"/>
      <c r="DR41" s="262"/>
      <c r="DS41" s="262"/>
      <c r="DT41" s="262"/>
      <c r="DU41" s="262"/>
      <c r="DV41" s="262"/>
      <c r="DW41" s="262"/>
      <c r="DX41" s="262"/>
      <c r="DY41" s="262"/>
      <c r="DZ41" s="262"/>
      <c r="EA41" s="262"/>
      <c r="EB41" s="262"/>
      <c r="EC41" s="262"/>
      <c r="ED41" s="262"/>
      <c r="EE41" s="262"/>
      <c r="EF41" s="262"/>
      <c r="EG41" s="262"/>
      <c r="EH41" s="262"/>
      <c r="EI41" s="262"/>
      <c r="EJ41" s="262"/>
      <c r="EK41" s="262"/>
      <c r="EL41" s="262"/>
      <c r="EM41" s="262"/>
      <c r="EN41" s="262"/>
      <c r="EO41" s="262"/>
      <c r="EP41" s="262"/>
      <c r="EQ41" s="262"/>
      <c r="ER41" s="262"/>
      <c r="ES41" s="262"/>
      <c r="ET41" s="262"/>
      <c r="EU41" s="262"/>
      <c r="EV41" s="262"/>
      <c r="EW41" s="262"/>
      <c r="EX41" s="262"/>
      <c r="EY41" s="262"/>
      <c r="EZ41" s="262"/>
      <c r="FA41" s="262"/>
      <c r="FB41" s="262"/>
      <c r="FC41" s="262"/>
      <c r="FD41" s="262"/>
      <c r="FE41" s="262"/>
      <c r="FF41" s="262"/>
      <c r="FG41" s="262"/>
      <c r="FH41" s="262"/>
      <c r="FI41" s="262"/>
      <c r="FJ41" s="262"/>
      <c r="FK41" s="262"/>
      <c r="FL41" s="262"/>
      <c r="FM41" s="262"/>
      <c r="FN41" s="262"/>
      <c r="FO41" s="262"/>
      <c r="FP41" s="262"/>
      <c r="FQ41" s="262"/>
      <c r="FR41" s="262"/>
      <c r="FS41" s="262"/>
      <c r="FT41" s="262"/>
      <c r="FU41" s="262"/>
      <c r="FV41" s="262"/>
      <c r="FW41" s="262"/>
      <c r="FX41" s="262"/>
      <c r="FY41" s="262"/>
      <c r="FZ41" s="262"/>
      <c r="GA41" s="262"/>
      <c r="GB41" s="262"/>
      <c r="GC41" s="262"/>
      <c r="GD41" s="262"/>
      <c r="GE41" s="262"/>
      <c r="GF41" s="262"/>
      <c r="GG41" s="262"/>
      <c r="GH41" s="262"/>
      <c r="GI41" s="262"/>
      <c r="GJ41" s="262"/>
      <c r="GK41" s="262"/>
      <c r="GL41" s="262"/>
      <c r="GM41" s="262"/>
      <c r="GN41" s="262"/>
      <c r="GO41" s="262"/>
      <c r="GP41" s="262"/>
      <c r="GQ41" s="262"/>
      <c r="GR41" s="262"/>
      <c r="GS41" s="262"/>
      <c r="GT41" s="262"/>
      <c r="GU41" s="262"/>
      <c r="GV41" s="262"/>
      <c r="GW41" s="262"/>
      <c r="GX41" s="262"/>
      <c r="GY41" s="262"/>
      <c r="GZ41" s="262"/>
      <c r="HA41" s="262"/>
      <c r="HB41" s="262"/>
    </row>
    <row r="42" spans="1:210" s="96" customFormat="1" x14ac:dyDescent="0.25">
      <c r="A42" s="57">
        <f>IF(COUNTBLANK(B42)=1," ",COUNTA($B$12:B42))</f>
        <v>22</v>
      </c>
      <c r="B42" s="9" t="s">
        <v>14</v>
      </c>
      <c r="C42" s="54" t="s">
        <v>362</v>
      </c>
      <c r="D42" s="743" t="s">
        <v>17</v>
      </c>
      <c r="E42" s="53">
        <v>20</v>
      </c>
      <c r="F42" s="274"/>
      <c r="G42" s="60"/>
      <c r="H42" s="271"/>
      <c r="I42" s="60"/>
      <c r="J42" s="60"/>
      <c r="K42" s="60"/>
      <c r="L42" s="315"/>
      <c r="M42" s="315"/>
      <c r="N42" s="315"/>
      <c r="O42" s="315"/>
      <c r="P42" s="315"/>
      <c r="Q42" s="315"/>
    </row>
    <row r="43" spans="1:210" s="96" customFormat="1" ht="22.5" x14ac:dyDescent="0.25">
      <c r="A43" s="57">
        <f>IF(COUNTBLANK(B43)=1," ",COUNTA($B$12:B43))</f>
        <v>23</v>
      </c>
      <c r="B43" s="9" t="s">
        <v>14</v>
      </c>
      <c r="C43" s="54" t="s">
        <v>363</v>
      </c>
      <c r="D43" s="743" t="s">
        <v>17</v>
      </c>
      <c r="E43" s="53">
        <v>20</v>
      </c>
      <c r="F43" s="743"/>
      <c r="G43" s="60"/>
      <c r="H43" s="271"/>
      <c r="I43" s="60"/>
      <c r="J43" s="60"/>
      <c r="K43" s="60"/>
      <c r="L43" s="315"/>
      <c r="M43" s="315"/>
      <c r="N43" s="315"/>
      <c r="O43" s="315"/>
      <c r="P43" s="315"/>
      <c r="Q43" s="315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</row>
    <row r="44" spans="1:210" s="96" customFormat="1" ht="22.5" x14ac:dyDescent="0.25">
      <c r="A44" s="57" t="str">
        <f>IF(COUNTBLANK(B44)=1," ",COUNTA($B$12:B44))</f>
        <v xml:space="preserve"> </v>
      </c>
      <c r="B44" s="286"/>
      <c r="C44" s="452" t="s">
        <v>899</v>
      </c>
      <c r="D44" s="743" t="s">
        <v>23</v>
      </c>
      <c r="E44" s="34">
        <f>ROUNDUP(E43*F44,2)</f>
        <v>40</v>
      </c>
      <c r="F44" s="743">
        <v>2</v>
      </c>
      <c r="G44" s="274"/>
      <c r="H44" s="271"/>
      <c r="I44" s="274"/>
      <c r="J44" s="274"/>
      <c r="K44" s="453"/>
      <c r="L44" s="315"/>
      <c r="M44" s="315"/>
      <c r="N44" s="315"/>
      <c r="O44" s="315"/>
      <c r="P44" s="315"/>
      <c r="Q44" s="315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3"/>
      <c r="CC44" s="253"/>
      <c r="CD44" s="253"/>
      <c r="CE44" s="253"/>
      <c r="CF44" s="253"/>
      <c r="CG44" s="253"/>
      <c r="CH44" s="253"/>
      <c r="CI44" s="253"/>
      <c r="CJ44" s="253"/>
      <c r="CK44" s="253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3"/>
      <c r="CW44" s="253"/>
      <c r="CX44" s="253"/>
      <c r="CY44" s="253"/>
      <c r="CZ44" s="253"/>
      <c r="DA44" s="253"/>
      <c r="DB44" s="253"/>
      <c r="DC44" s="253"/>
      <c r="DD44" s="253"/>
      <c r="DE44" s="253"/>
      <c r="DF44" s="253"/>
      <c r="DG44" s="253"/>
      <c r="DH44" s="253"/>
      <c r="DI44" s="253"/>
      <c r="DJ44" s="253"/>
      <c r="DK44" s="253"/>
      <c r="DL44" s="253"/>
      <c r="DM44" s="253"/>
      <c r="DN44" s="253"/>
      <c r="DO44" s="253"/>
      <c r="DP44" s="253"/>
      <c r="DQ44" s="253"/>
      <c r="DR44" s="253"/>
      <c r="DS44" s="253"/>
      <c r="DT44" s="253"/>
      <c r="DU44" s="253"/>
      <c r="DV44" s="253"/>
      <c r="DW44" s="253"/>
      <c r="DX44" s="253"/>
      <c r="DY44" s="253"/>
      <c r="DZ44" s="253"/>
      <c r="EA44" s="253"/>
      <c r="EB44" s="253"/>
      <c r="EC44" s="253"/>
      <c r="ED44" s="253"/>
      <c r="EE44" s="253"/>
      <c r="EF44" s="253"/>
      <c r="EG44" s="253"/>
      <c r="EH44" s="253"/>
      <c r="EI44" s="253"/>
      <c r="EJ44" s="253"/>
      <c r="EK44" s="253"/>
      <c r="EL44" s="253"/>
      <c r="EM44" s="253"/>
      <c r="EN44" s="253"/>
      <c r="EO44" s="253"/>
      <c r="EP44" s="253"/>
      <c r="EQ44" s="253"/>
      <c r="ER44" s="253"/>
      <c r="ES44" s="253"/>
      <c r="ET44" s="253"/>
      <c r="EU44" s="253"/>
      <c r="EV44" s="253"/>
      <c r="EW44" s="253"/>
      <c r="EX44" s="253"/>
      <c r="EY44" s="253"/>
      <c r="EZ44" s="253"/>
      <c r="FA44" s="253"/>
      <c r="FB44" s="253"/>
      <c r="FC44" s="253"/>
      <c r="FD44" s="253"/>
      <c r="FE44" s="253"/>
      <c r="FF44" s="253"/>
      <c r="FG44" s="253"/>
      <c r="FH44" s="253"/>
      <c r="FI44" s="253"/>
      <c r="FJ44" s="253"/>
      <c r="FK44" s="253"/>
      <c r="FL44" s="253"/>
      <c r="FM44" s="253"/>
      <c r="FN44" s="253"/>
      <c r="FO44" s="253"/>
      <c r="FP44" s="253"/>
      <c r="FQ44" s="253"/>
      <c r="FR44" s="253"/>
      <c r="FS44" s="253"/>
      <c r="FT44" s="253"/>
      <c r="FU44" s="253"/>
      <c r="FV44" s="253"/>
      <c r="FW44" s="253"/>
      <c r="FX44" s="253"/>
      <c r="FY44" s="253"/>
      <c r="FZ44" s="253"/>
      <c r="GA44" s="253"/>
      <c r="GB44" s="253"/>
      <c r="GC44" s="253"/>
      <c r="GD44" s="253"/>
      <c r="GE44" s="253"/>
      <c r="GF44" s="253"/>
      <c r="GG44" s="253"/>
      <c r="GH44" s="253"/>
      <c r="GI44" s="253"/>
      <c r="GJ44" s="253"/>
      <c r="GK44" s="253"/>
      <c r="GL44" s="253"/>
      <c r="GM44" s="253"/>
      <c r="GN44" s="253"/>
      <c r="GO44" s="253"/>
      <c r="GP44" s="253"/>
      <c r="GQ44" s="253"/>
      <c r="GR44" s="253"/>
      <c r="GS44" s="253"/>
      <c r="GT44" s="253"/>
      <c r="GU44" s="253"/>
      <c r="GV44" s="253"/>
      <c r="GW44" s="253"/>
      <c r="GX44" s="253"/>
      <c r="GY44" s="253"/>
      <c r="GZ44" s="253"/>
      <c r="HA44" s="253"/>
      <c r="HB44" s="253"/>
    </row>
    <row r="45" spans="1:210" s="96" customFormat="1" x14ac:dyDescent="0.25">
      <c r="A45" s="57">
        <f>IF(COUNTBLANK(B45)=1," ",COUNTA($B$12:B45))</f>
        <v>24</v>
      </c>
      <c r="B45" s="9" t="s">
        <v>14</v>
      </c>
      <c r="C45" s="54" t="s">
        <v>364</v>
      </c>
      <c r="D45" s="743" t="s">
        <v>17</v>
      </c>
      <c r="E45" s="53">
        <v>20</v>
      </c>
      <c r="F45" s="274"/>
      <c r="G45" s="60"/>
      <c r="H45" s="271"/>
      <c r="I45" s="60"/>
      <c r="J45" s="60"/>
      <c r="K45" s="60"/>
      <c r="L45" s="315"/>
      <c r="M45" s="315"/>
      <c r="N45" s="315"/>
      <c r="O45" s="315"/>
      <c r="P45" s="315"/>
      <c r="Q45" s="315"/>
    </row>
    <row r="46" spans="1:210" s="96" customFormat="1" ht="22.5" x14ac:dyDescent="0.25">
      <c r="A46" s="57">
        <f>IF(COUNTBLANK(B46)=1," ",COUNTA($B$12:B46))</f>
        <v>25</v>
      </c>
      <c r="B46" s="9" t="s">
        <v>14</v>
      </c>
      <c r="C46" s="54" t="s">
        <v>365</v>
      </c>
      <c r="D46" s="743" t="s">
        <v>17</v>
      </c>
      <c r="E46" s="53">
        <v>20</v>
      </c>
      <c r="F46" s="274"/>
      <c r="G46" s="60"/>
      <c r="H46" s="271"/>
      <c r="I46" s="60"/>
      <c r="J46" s="60"/>
      <c r="K46" s="60"/>
      <c r="L46" s="315"/>
      <c r="M46" s="315"/>
      <c r="N46" s="315"/>
      <c r="O46" s="315"/>
      <c r="P46" s="315"/>
      <c r="Q46" s="315"/>
    </row>
    <row r="47" spans="1:210" s="96" customFormat="1" x14ac:dyDescent="0.25">
      <c r="A47" s="57">
        <f>IF(COUNTBLANK(B47)=1," ",COUNTA($B$12:B47))</f>
        <v>26</v>
      </c>
      <c r="B47" s="9" t="s">
        <v>14</v>
      </c>
      <c r="C47" s="95" t="s">
        <v>366</v>
      </c>
      <c r="D47" s="743" t="s">
        <v>16</v>
      </c>
      <c r="E47" s="53">
        <v>12.8</v>
      </c>
      <c r="F47" s="274"/>
      <c r="G47" s="60"/>
      <c r="H47" s="271"/>
      <c r="I47" s="15"/>
      <c r="J47" s="440"/>
      <c r="K47" s="60"/>
      <c r="L47" s="315"/>
      <c r="M47" s="315"/>
      <c r="N47" s="315"/>
      <c r="O47" s="315"/>
      <c r="P47" s="315"/>
      <c r="Q47" s="315"/>
    </row>
    <row r="48" spans="1:210" s="96" customFormat="1" x14ac:dyDescent="0.25">
      <c r="A48" s="57">
        <f>IF(COUNTBLANK(B48)=1," ",COUNTA($B$12:B48))</f>
        <v>27</v>
      </c>
      <c r="B48" s="9" t="s">
        <v>14</v>
      </c>
      <c r="C48" s="95" t="s">
        <v>367</v>
      </c>
      <c r="D48" s="743" t="s">
        <v>17</v>
      </c>
      <c r="E48" s="53">
        <v>22</v>
      </c>
      <c r="F48" s="274"/>
      <c r="G48" s="60"/>
      <c r="H48" s="271"/>
      <c r="I48" s="15"/>
      <c r="J48" s="440"/>
      <c r="K48" s="60"/>
      <c r="L48" s="315"/>
      <c r="M48" s="315"/>
      <c r="N48" s="315"/>
      <c r="O48" s="315"/>
      <c r="P48" s="315"/>
      <c r="Q48" s="315"/>
    </row>
    <row r="49" spans="1:210" s="96" customFormat="1" ht="22.5" x14ac:dyDescent="0.25">
      <c r="A49" s="57">
        <f>IF(COUNTBLANK(B49)=1," ",COUNTA($B$12:B49))</f>
        <v>28</v>
      </c>
      <c r="B49" s="9" t="s">
        <v>14</v>
      </c>
      <c r="C49" s="95" t="s">
        <v>368</v>
      </c>
      <c r="D49" s="743" t="s">
        <v>17</v>
      </c>
      <c r="E49" s="10">
        <f>0.5*12.8</f>
        <v>6.4</v>
      </c>
      <c r="F49" s="274"/>
      <c r="G49" s="136"/>
      <c r="H49" s="271"/>
      <c r="I49" s="10"/>
      <c r="J49" s="136"/>
      <c r="K49" s="136"/>
      <c r="L49" s="315"/>
      <c r="M49" s="315"/>
      <c r="N49" s="315"/>
      <c r="O49" s="315"/>
      <c r="P49" s="315"/>
      <c r="Q49" s="315"/>
    </row>
    <row r="50" spans="1:210" s="96" customFormat="1" ht="22.5" x14ac:dyDescent="0.25">
      <c r="A50" s="57">
        <f>IF(COUNTBLANK(B50)=1," ",COUNTA($B$12:B50))</f>
        <v>29</v>
      </c>
      <c r="B50" s="9" t="s">
        <v>14</v>
      </c>
      <c r="C50" s="54" t="s">
        <v>900</v>
      </c>
      <c r="D50" s="743" t="s">
        <v>17</v>
      </c>
      <c r="E50" s="10">
        <f>0.3*12.8</f>
        <v>3.84</v>
      </c>
      <c r="F50" s="445"/>
      <c r="G50" s="136"/>
      <c r="H50" s="271"/>
      <c r="I50" s="136"/>
      <c r="J50" s="58"/>
      <c r="K50" s="58"/>
      <c r="L50" s="315"/>
      <c r="M50" s="315"/>
      <c r="N50" s="315"/>
      <c r="O50" s="315"/>
      <c r="P50" s="315"/>
      <c r="Q50" s="315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</row>
    <row r="51" spans="1:210" s="96" customFormat="1" x14ac:dyDescent="0.25">
      <c r="A51" s="57" t="str">
        <f>IF(COUNTBLANK(B51)=1," ",COUNTA($B$12:B51))</f>
        <v xml:space="preserve"> </v>
      </c>
      <c r="B51" s="377"/>
      <c r="C51" s="14" t="s">
        <v>901</v>
      </c>
      <c r="D51" s="743" t="s">
        <v>17</v>
      </c>
      <c r="E51" s="673">
        <v>5</v>
      </c>
      <c r="F51" s="60"/>
      <c r="G51" s="136"/>
      <c r="H51" s="271"/>
      <c r="I51" s="136"/>
      <c r="J51" s="310"/>
      <c r="K51" s="136"/>
      <c r="L51" s="315"/>
      <c r="M51" s="315"/>
      <c r="N51" s="315"/>
      <c r="O51" s="315"/>
      <c r="P51" s="315"/>
      <c r="Q51" s="31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</row>
    <row r="52" spans="1:210" s="96" customFormat="1" ht="22.5" x14ac:dyDescent="0.25">
      <c r="A52" s="57">
        <f>IF(COUNTBLANK(B52)=1," ",COUNTA($B$12:B52))</f>
        <v>30</v>
      </c>
      <c r="B52" s="9" t="s">
        <v>14</v>
      </c>
      <c r="C52" s="95" t="s">
        <v>369</v>
      </c>
      <c r="D52" s="743" t="s">
        <v>17</v>
      </c>
      <c r="E52" s="53">
        <f>0.25*12.8</f>
        <v>3.2</v>
      </c>
      <c r="F52" s="274"/>
      <c r="G52" s="136"/>
      <c r="H52" s="271"/>
      <c r="I52" s="10"/>
      <c r="J52" s="136"/>
      <c r="K52" s="136"/>
      <c r="L52" s="315"/>
      <c r="M52" s="315"/>
      <c r="N52" s="315"/>
      <c r="O52" s="315"/>
      <c r="P52" s="315"/>
      <c r="Q52" s="315"/>
    </row>
    <row r="53" spans="1:210" s="96" customFormat="1" x14ac:dyDescent="0.25">
      <c r="A53" s="57">
        <f>IF(COUNTBLANK(B53)=1," ",COUNTA($B$12:B53))</f>
        <v>31</v>
      </c>
      <c r="B53" s="9" t="s">
        <v>14</v>
      </c>
      <c r="C53" s="14" t="s">
        <v>440</v>
      </c>
      <c r="D53" s="743" t="s">
        <v>17</v>
      </c>
      <c r="E53" s="53">
        <v>24</v>
      </c>
      <c r="F53" s="445"/>
      <c r="G53" s="136"/>
      <c r="H53" s="271"/>
      <c r="I53" s="136"/>
      <c r="J53" s="58"/>
      <c r="K53" s="58"/>
      <c r="L53" s="315"/>
      <c r="M53" s="315"/>
      <c r="N53" s="315"/>
      <c r="O53" s="315"/>
      <c r="P53" s="315"/>
      <c r="Q53" s="315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  <c r="EO53" s="94"/>
      <c r="EP53" s="94"/>
      <c r="EQ53" s="94"/>
      <c r="ER53" s="94"/>
      <c r="ES53" s="94"/>
      <c r="ET53" s="94"/>
      <c r="EU53" s="94"/>
      <c r="EV53" s="94"/>
      <c r="EW53" s="94"/>
      <c r="EX53" s="94"/>
      <c r="EY53" s="94"/>
      <c r="EZ53" s="94"/>
      <c r="FA53" s="94"/>
      <c r="FB53" s="94"/>
      <c r="FC53" s="94"/>
      <c r="FD53" s="94"/>
      <c r="FE53" s="94"/>
      <c r="FF53" s="94"/>
      <c r="FG53" s="94"/>
      <c r="FH53" s="94"/>
      <c r="FI53" s="94"/>
      <c r="FJ53" s="94"/>
      <c r="FK53" s="94"/>
      <c r="FL53" s="94"/>
      <c r="FM53" s="94"/>
      <c r="FN53" s="94"/>
      <c r="FO53" s="94"/>
      <c r="FP53" s="94"/>
      <c r="FQ53" s="94"/>
      <c r="FR53" s="94"/>
      <c r="FS53" s="94"/>
      <c r="FT53" s="94"/>
      <c r="FU53" s="94"/>
      <c r="FV53" s="94"/>
      <c r="FW53" s="94"/>
      <c r="FX53" s="94"/>
      <c r="FY53" s="94"/>
      <c r="FZ53" s="94"/>
      <c r="GA53" s="94"/>
      <c r="GB53" s="94"/>
      <c r="GC53" s="94"/>
      <c r="GD53" s="94"/>
      <c r="GE53" s="94"/>
      <c r="GF53" s="94"/>
      <c r="GG53" s="94"/>
      <c r="GH53" s="94"/>
      <c r="GI53" s="94"/>
      <c r="GJ53" s="94"/>
      <c r="GK53" s="94"/>
      <c r="GL53" s="94"/>
      <c r="GM53" s="94"/>
      <c r="GN53" s="94"/>
      <c r="GO53" s="94"/>
      <c r="GP53" s="94"/>
      <c r="GQ53" s="94"/>
      <c r="GR53" s="94"/>
      <c r="GS53" s="94"/>
      <c r="GT53" s="94"/>
      <c r="GU53" s="94"/>
      <c r="GV53" s="94"/>
      <c r="GW53" s="94"/>
      <c r="GX53" s="94"/>
      <c r="GY53" s="94"/>
      <c r="GZ53" s="94"/>
      <c r="HA53" s="94"/>
      <c r="HB53" s="94"/>
    </row>
    <row r="54" spans="1:210" s="96" customFormat="1" ht="22.5" x14ac:dyDescent="0.25">
      <c r="A54" s="57" t="str">
        <f>IF(COUNTBLANK(B54)=1," ",COUNTA($B$12:B54))</f>
        <v xml:space="preserve"> </v>
      </c>
      <c r="B54" s="377"/>
      <c r="C54" s="14" t="s">
        <v>885</v>
      </c>
      <c r="D54" s="743" t="s">
        <v>17</v>
      </c>
      <c r="E54" s="673">
        <f>1.55*24</f>
        <v>37.200000000000003</v>
      </c>
      <c r="F54" s="60"/>
      <c r="G54" s="136"/>
      <c r="H54" s="271"/>
      <c r="I54" s="136"/>
      <c r="J54" s="310"/>
      <c r="K54" s="136"/>
      <c r="L54" s="315"/>
      <c r="M54" s="315"/>
      <c r="N54" s="315"/>
      <c r="O54" s="315"/>
      <c r="P54" s="315"/>
      <c r="Q54" s="31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</row>
    <row r="55" spans="1:210" s="96" customFormat="1" ht="22.5" x14ac:dyDescent="0.25">
      <c r="A55" s="57" t="str">
        <f>IF(COUNTBLANK(B55)=1," ",COUNTA($B$12:B55))</f>
        <v xml:space="preserve"> </v>
      </c>
      <c r="B55" s="377"/>
      <c r="C55" s="14" t="s">
        <v>886</v>
      </c>
      <c r="D55" s="743" t="s">
        <v>17</v>
      </c>
      <c r="E55" s="673">
        <f>1.55*24</f>
        <v>37.200000000000003</v>
      </c>
      <c r="F55" s="60"/>
      <c r="G55" s="136"/>
      <c r="H55" s="271"/>
      <c r="I55" s="136"/>
      <c r="J55" s="310"/>
      <c r="K55" s="136"/>
      <c r="L55" s="315"/>
      <c r="M55" s="315"/>
      <c r="N55" s="315"/>
      <c r="O55" s="315"/>
      <c r="P55" s="315"/>
      <c r="Q55" s="31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</row>
    <row r="56" spans="1:210" s="96" customFormat="1" x14ac:dyDescent="0.25">
      <c r="A56" s="57" t="str">
        <f>IF(COUNTBLANK(B56)=1," ",COUNTA($B$12:B56))</f>
        <v xml:space="preserve"> </v>
      </c>
      <c r="B56" s="377"/>
      <c r="C56" s="14" t="s">
        <v>438</v>
      </c>
      <c r="D56" s="743" t="s">
        <v>439</v>
      </c>
      <c r="E56" s="53">
        <v>2</v>
      </c>
      <c r="F56" s="60"/>
      <c r="G56" s="136"/>
      <c r="H56" s="271"/>
      <c r="I56" s="136"/>
      <c r="J56" s="310"/>
      <c r="K56" s="136"/>
      <c r="L56" s="315"/>
      <c r="M56" s="315"/>
      <c r="N56" s="315"/>
      <c r="O56" s="315"/>
      <c r="P56" s="315"/>
      <c r="Q56" s="31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</row>
    <row r="57" spans="1:210" s="96" customFormat="1" ht="22.5" x14ac:dyDescent="0.25">
      <c r="A57" s="57">
        <f>IF(COUNTBLANK(B57)=1," ",COUNTA($B$12:B57))</f>
        <v>32</v>
      </c>
      <c r="B57" s="9" t="s">
        <v>14</v>
      </c>
      <c r="C57" s="54" t="s">
        <v>821</v>
      </c>
      <c r="D57" s="743" t="s">
        <v>16</v>
      </c>
      <c r="E57" s="53">
        <v>22.4</v>
      </c>
      <c r="F57" s="274"/>
      <c r="G57" s="136"/>
      <c r="H57" s="271"/>
      <c r="I57" s="10"/>
      <c r="J57" s="136"/>
      <c r="K57" s="136"/>
      <c r="L57" s="315"/>
      <c r="M57" s="315"/>
      <c r="N57" s="315"/>
      <c r="O57" s="315"/>
      <c r="P57" s="315"/>
      <c r="Q57" s="315"/>
    </row>
    <row r="58" spans="1:210" s="96" customFormat="1" x14ac:dyDescent="0.25">
      <c r="A58" s="57">
        <f>IF(COUNTBLANK(B58)=1," ",COUNTA($B$12:B58))</f>
        <v>33</v>
      </c>
      <c r="B58" s="9" t="s">
        <v>14</v>
      </c>
      <c r="C58" s="54" t="s">
        <v>370</v>
      </c>
      <c r="D58" s="743" t="s">
        <v>16</v>
      </c>
      <c r="E58" s="53">
        <v>22.4</v>
      </c>
      <c r="F58" s="274"/>
      <c r="G58" s="10"/>
      <c r="H58" s="271"/>
      <c r="I58" s="34"/>
      <c r="J58" s="58"/>
      <c r="K58" s="10"/>
      <c r="L58" s="315"/>
      <c r="M58" s="315"/>
      <c r="N58" s="315"/>
      <c r="O58" s="315"/>
      <c r="P58" s="315"/>
      <c r="Q58" s="315"/>
    </row>
    <row r="59" spans="1:210" s="96" customFormat="1" ht="22.5" x14ac:dyDescent="0.25">
      <c r="A59" s="57">
        <f>IF(COUNTBLANK(B59)=1," ",COUNTA($B$12:B59))</f>
        <v>34</v>
      </c>
      <c r="B59" s="9" t="s">
        <v>14</v>
      </c>
      <c r="C59" s="54" t="s">
        <v>371</v>
      </c>
      <c r="D59" s="743" t="s">
        <v>16</v>
      </c>
      <c r="E59" s="53">
        <v>22.4</v>
      </c>
      <c r="F59" s="274"/>
      <c r="G59" s="136"/>
      <c r="H59" s="271"/>
      <c r="I59" s="10"/>
      <c r="J59" s="136"/>
      <c r="K59" s="136"/>
      <c r="L59" s="315"/>
      <c r="M59" s="315"/>
      <c r="N59" s="315"/>
      <c r="O59" s="315"/>
      <c r="P59" s="315"/>
      <c r="Q59" s="315"/>
    </row>
    <row r="60" spans="1:210" s="3" customFormat="1" x14ac:dyDescent="0.25">
      <c r="A60" s="57">
        <f>IF(COUNTBLANK(B60)=1," ",COUNTA($B$12:B60))</f>
        <v>35</v>
      </c>
      <c r="B60" s="9" t="s">
        <v>14</v>
      </c>
      <c r="C60" s="54" t="s">
        <v>372</v>
      </c>
      <c r="D60" s="743" t="s">
        <v>16</v>
      </c>
      <c r="E60" s="53">
        <v>12.8</v>
      </c>
      <c r="F60" s="443"/>
      <c r="G60" s="437"/>
      <c r="H60" s="271"/>
      <c r="I60" s="438"/>
      <c r="J60" s="439"/>
      <c r="K60" s="438"/>
      <c r="L60" s="315"/>
      <c r="M60" s="315"/>
      <c r="N60" s="315"/>
      <c r="O60" s="315"/>
      <c r="P60" s="315"/>
      <c r="Q60" s="315"/>
    </row>
    <row r="61" spans="1:210" s="3" customFormat="1" x14ac:dyDescent="0.25">
      <c r="A61" s="57" t="str">
        <f>IF(COUNTBLANK(B61)=1," ",COUNTA($B$12:B61))</f>
        <v xml:space="preserve"> </v>
      </c>
      <c r="B61" s="394"/>
      <c r="C61" s="736" t="s">
        <v>442</v>
      </c>
      <c r="D61" s="394" t="s">
        <v>16</v>
      </c>
      <c r="E61" s="442">
        <v>77</v>
      </c>
      <c r="F61" s="443"/>
      <c r="G61" s="437"/>
      <c r="H61" s="271"/>
      <c r="I61" s="438"/>
      <c r="J61" s="439"/>
      <c r="K61" s="438"/>
      <c r="L61" s="315"/>
      <c r="M61" s="315"/>
      <c r="N61" s="315"/>
      <c r="O61" s="315"/>
      <c r="P61" s="315"/>
      <c r="Q61" s="315"/>
    </row>
    <row r="62" spans="1:210" s="3" customFormat="1" x14ac:dyDescent="0.25">
      <c r="A62" s="57" t="str">
        <f>IF(COUNTBLANK(B62)=1," ",COUNTA($B$12:B62))</f>
        <v xml:space="preserve"> </v>
      </c>
      <c r="B62" s="394"/>
      <c r="C62" s="736" t="s">
        <v>443</v>
      </c>
      <c r="D62" s="394" t="s">
        <v>32</v>
      </c>
      <c r="E62" s="442">
        <v>70</v>
      </c>
      <c r="F62" s="443"/>
      <c r="G62" s="437"/>
      <c r="H62" s="271"/>
      <c r="I62" s="438"/>
      <c r="J62" s="439"/>
      <c r="K62" s="438"/>
      <c r="L62" s="315"/>
      <c r="M62" s="315"/>
      <c r="N62" s="315"/>
      <c r="O62" s="315"/>
      <c r="P62" s="315"/>
      <c r="Q62" s="315"/>
    </row>
    <row r="63" spans="1:210" s="3" customFormat="1" x14ac:dyDescent="0.25">
      <c r="A63" s="57" t="str">
        <f>IF(COUNTBLANK(B63)=1," ",COUNTA($B$12:B63))</f>
        <v xml:space="preserve"> </v>
      </c>
      <c r="B63" s="394"/>
      <c r="C63" s="736" t="s">
        <v>444</v>
      </c>
      <c r="D63" s="394" t="s">
        <v>32</v>
      </c>
      <c r="E63" s="442">
        <v>3.85</v>
      </c>
      <c r="F63" s="443"/>
      <c r="G63" s="437"/>
      <c r="H63" s="271"/>
      <c r="I63" s="438"/>
      <c r="J63" s="439"/>
      <c r="K63" s="438"/>
      <c r="L63" s="315"/>
      <c r="M63" s="315"/>
      <c r="N63" s="315"/>
      <c r="O63" s="315"/>
      <c r="P63" s="315"/>
      <c r="Q63" s="315"/>
    </row>
    <row r="64" spans="1:210" s="3" customFormat="1" x14ac:dyDescent="0.25">
      <c r="A64" s="57" t="str">
        <f>IF(COUNTBLANK(B64)=1," ",COUNTA($B$12:B64))</f>
        <v xml:space="preserve"> </v>
      </c>
      <c r="B64" s="394"/>
      <c r="C64" s="736" t="s">
        <v>445</v>
      </c>
      <c r="D64" s="394" t="s">
        <v>32</v>
      </c>
      <c r="E64" s="442">
        <v>140</v>
      </c>
      <c r="F64" s="443"/>
      <c r="G64" s="437"/>
      <c r="H64" s="271"/>
      <c r="I64" s="438"/>
      <c r="J64" s="439"/>
      <c r="K64" s="438"/>
      <c r="L64" s="315"/>
      <c r="M64" s="315"/>
      <c r="N64" s="315"/>
      <c r="O64" s="315"/>
      <c r="P64" s="315"/>
      <c r="Q64" s="315"/>
    </row>
    <row r="65" spans="1:17" s="3" customFormat="1" x14ac:dyDescent="0.25">
      <c r="A65" s="57" t="str">
        <f>IF(COUNTBLANK(B65)=1," ",COUNTA($B$12:B65))</f>
        <v xml:space="preserve"> </v>
      </c>
      <c r="B65" s="394"/>
      <c r="C65" s="736" t="s">
        <v>446</v>
      </c>
      <c r="D65" s="394" t="s">
        <v>32</v>
      </c>
      <c r="E65" s="442">
        <v>4.2</v>
      </c>
      <c r="F65" s="443"/>
      <c r="G65" s="437"/>
      <c r="H65" s="271"/>
      <c r="I65" s="438"/>
      <c r="J65" s="439"/>
      <c r="K65" s="438"/>
      <c r="L65" s="315"/>
      <c r="M65" s="315"/>
      <c r="N65" s="315"/>
      <c r="O65" s="315"/>
      <c r="P65" s="315"/>
      <c r="Q65" s="315"/>
    </row>
    <row r="66" spans="1:17" s="3" customFormat="1" x14ac:dyDescent="0.25">
      <c r="A66" s="57" t="str">
        <f>IF(COUNTBLANK(B66)=1," ",COUNTA($B$12:B66))</f>
        <v xml:space="preserve"> </v>
      </c>
      <c r="B66" s="394"/>
      <c r="C66" s="736" t="s">
        <v>447</v>
      </c>
      <c r="D66" s="394" t="s">
        <v>32</v>
      </c>
      <c r="E66" s="442">
        <v>207.137</v>
      </c>
      <c r="F66" s="443"/>
      <c r="G66" s="437"/>
      <c r="H66" s="271"/>
      <c r="I66" s="438"/>
      <c r="J66" s="439"/>
      <c r="K66" s="438"/>
      <c r="L66" s="315"/>
      <c r="M66" s="315"/>
      <c r="N66" s="315"/>
      <c r="O66" s="315"/>
      <c r="P66" s="315"/>
      <c r="Q66" s="315"/>
    </row>
    <row r="67" spans="1:17" s="3" customFormat="1" x14ac:dyDescent="0.25">
      <c r="A67" s="57">
        <f>IF(COUNTBLANK(B67)=1," ",COUNTA($B$12:B67))</f>
        <v>36</v>
      </c>
      <c r="B67" s="9" t="s">
        <v>14</v>
      </c>
      <c r="C67" s="54" t="s">
        <v>373</v>
      </c>
      <c r="D67" s="743" t="s">
        <v>16</v>
      </c>
      <c r="E67" s="53">
        <v>12</v>
      </c>
      <c r="F67" s="443"/>
      <c r="G67" s="437"/>
      <c r="H67" s="271"/>
      <c r="I67" s="438"/>
      <c r="J67" s="439"/>
      <c r="K67" s="438"/>
      <c r="L67" s="315"/>
      <c r="M67" s="315"/>
      <c r="N67" s="315"/>
      <c r="O67" s="315"/>
      <c r="P67" s="315"/>
      <c r="Q67" s="315"/>
    </row>
    <row r="68" spans="1:17" s="3" customFormat="1" x14ac:dyDescent="0.25">
      <c r="A68" s="57" t="str">
        <f>IF(COUNTBLANK(B68)=1," ",COUNTA($B$12:B68))</f>
        <v xml:space="preserve"> </v>
      </c>
      <c r="B68" s="394"/>
      <c r="C68" s="736" t="s">
        <v>448</v>
      </c>
      <c r="D68" s="394" t="s">
        <v>16</v>
      </c>
      <c r="E68" s="442">
        <v>73.5</v>
      </c>
      <c r="F68" s="443"/>
      <c r="G68" s="437"/>
      <c r="H68" s="271"/>
      <c r="I68" s="438"/>
      <c r="J68" s="439"/>
      <c r="K68" s="438"/>
      <c r="L68" s="315"/>
      <c r="M68" s="315"/>
      <c r="N68" s="315"/>
      <c r="O68" s="315"/>
      <c r="P68" s="315"/>
      <c r="Q68" s="315"/>
    </row>
    <row r="69" spans="1:17" s="3" customFormat="1" x14ac:dyDescent="0.25">
      <c r="A69" s="57" t="str">
        <f>IF(COUNTBLANK(B69)=1," ",COUNTA($B$12:B69))</f>
        <v xml:space="preserve"> </v>
      </c>
      <c r="B69" s="394"/>
      <c r="C69" s="736" t="s">
        <v>449</v>
      </c>
      <c r="D69" s="394" t="s">
        <v>32</v>
      </c>
      <c r="E69" s="442">
        <v>42.424200000000006</v>
      </c>
      <c r="F69" s="443"/>
      <c r="G69" s="437"/>
      <c r="H69" s="271"/>
      <c r="I69" s="438"/>
      <c r="J69" s="439"/>
      <c r="K69" s="438"/>
      <c r="L69" s="315"/>
      <c r="M69" s="315"/>
      <c r="N69" s="315"/>
      <c r="O69" s="315"/>
      <c r="P69" s="315"/>
      <c r="Q69" s="315"/>
    </row>
    <row r="70" spans="1:17" s="3" customFormat="1" x14ac:dyDescent="0.25">
      <c r="A70" s="57" t="str">
        <f>IF(COUNTBLANK(B70)=1," ",COUNTA($B$12:B70))</f>
        <v xml:space="preserve"> </v>
      </c>
      <c r="B70" s="394"/>
      <c r="C70" s="736" t="s">
        <v>450</v>
      </c>
      <c r="D70" s="394" t="s">
        <v>32</v>
      </c>
      <c r="E70" s="442">
        <v>23.8</v>
      </c>
      <c r="F70" s="443"/>
      <c r="G70" s="437"/>
      <c r="H70" s="271"/>
      <c r="I70" s="438"/>
      <c r="J70" s="439"/>
      <c r="K70" s="438"/>
      <c r="L70" s="315"/>
      <c r="M70" s="315"/>
      <c r="N70" s="315"/>
      <c r="O70" s="315"/>
      <c r="P70" s="315"/>
      <c r="Q70" s="315"/>
    </row>
    <row r="71" spans="1:17" s="3" customFormat="1" x14ac:dyDescent="0.25">
      <c r="A71" s="57" t="str">
        <f>IF(COUNTBLANK(B71)=1," ",COUNTA($B$12:B71))</f>
        <v xml:space="preserve"> </v>
      </c>
      <c r="B71" s="394"/>
      <c r="C71" s="736" t="s">
        <v>451</v>
      </c>
      <c r="D71" s="394" t="s">
        <v>32</v>
      </c>
      <c r="E71" s="442">
        <v>81.899999999999991</v>
      </c>
      <c r="F71" s="443"/>
      <c r="G71" s="437"/>
      <c r="H71" s="271"/>
      <c r="I71" s="438"/>
      <c r="J71" s="439"/>
      <c r="K71" s="438"/>
      <c r="L71" s="315"/>
      <c r="M71" s="315"/>
      <c r="N71" s="315"/>
      <c r="O71" s="315"/>
      <c r="P71" s="315"/>
      <c r="Q71" s="315"/>
    </row>
    <row r="72" spans="1:17" s="3" customFormat="1" x14ac:dyDescent="0.25">
      <c r="A72" s="744"/>
      <c r="B72" s="213"/>
      <c r="C72" s="250"/>
      <c r="D72" s="19"/>
      <c r="E72" s="225"/>
      <c r="F72" s="17"/>
      <c r="G72" s="18"/>
      <c r="H72" s="18"/>
      <c r="I72" s="18"/>
      <c r="J72" s="18"/>
      <c r="K72" s="18"/>
      <c r="L72" s="20"/>
      <c r="M72" s="20"/>
      <c r="N72" s="20"/>
      <c r="O72" s="20"/>
      <c r="P72" s="20"/>
      <c r="Q72" s="20"/>
    </row>
    <row r="73" spans="1:17" s="67" customFormat="1" x14ac:dyDescent="0.25">
      <c r="A73" s="398"/>
      <c r="B73" s="69"/>
      <c r="C73" s="217" t="s">
        <v>179</v>
      </c>
      <c r="D73" s="17"/>
      <c r="E73" s="162"/>
      <c r="F73" s="162"/>
      <c r="G73" s="17"/>
      <c r="H73" s="17"/>
      <c r="I73" s="17"/>
      <c r="J73" s="17"/>
      <c r="K73" s="17"/>
      <c r="L73" s="17"/>
      <c r="M73" s="20">
        <f>SUM(M13:M71)</f>
        <v>0</v>
      </c>
      <c r="N73" s="20">
        <f>SUM(N13:N71)</f>
        <v>0</v>
      </c>
      <c r="O73" s="20">
        <f>SUM(O13:O71)</f>
        <v>0</v>
      </c>
      <c r="P73" s="20">
        <f>SUM(P13:P71)</f>
        <v>0</v>
      </c>
      <c r="Q73" s="20">
        <f>SUM(Q13:Q71)</f>
        <v>0</v>
      </c>
    </row>
    <row r="74" spans="1:17" s="79" customFormat="1" x14ac:dyDescent="0.25">
      <c r="A74" s="398"/>
      <c r="B74" s="69"/>
      <c r="C74" s="71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s="79" customFormat="1" x14ac:dyDescent="0.25">
      <c r="A75" s="398"/>
      <c r="B75" s="140" t="str">
        <f>sas</f>
        <v>Sastādīja:</v>
      </c>
      <c r="C75" s="150"/>
      <c r="D75" s="94"/>
      <c r="E75" s="94"/>
      <c r="F75" s="94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s="79" customFormat="1" x14ac:dyDescent="0.25">
      <c r="A76" s="398"/>
      <c r="B76" s="140"/>
      <c r="C76" s="667" t="s">
        <v>145</v>
      </c>
      <c r="D76" s="140"/>
      <c r="E76" s="140"/>
      <c r="F76" s="94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</row>
    <row r="77" spans="1:17" s="72" customFormat="1" x14ac:dyDescent="0.25">
      <c r="A77" s="398"/>
      <c r="B77" s="161"/>
      <c r="C77" s="668"/>
      <c r="D77" s="140"/>
      <c r="E77" s="140"/>
      <c r="F77" s="94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</row>
    <row r="78" spans="1:17" s="72" customFormat="1" x14ac:dyDescent="0.25">
      <c r="A78" s="398"/>
      <c r="B78" s="140" t="str">
        <f>dat</f>
        <v>Tāme sastādīta 201__. gada __.____________</v>
      </c>
      <c r="C78" s="150"/>
      <c r="D78" s="140"/>
      <c r="E78" s="140"/>
      <c r="F78" s="94"/>
      <c r="G78" s="70"/>
      <c r="H78" s="70"/>
      <c r="I78" s="70"/>
      <c r="J78" s="70"/>
      <c r="K78" s="70"/>
      <c r="M78" s="70"/>
      <c r="N78" s="70"/>
      <c r="O78" s="70"/>
      <c r="P78" s="70"/>
      <c r="Q78" s="70"/>
    </row>
    <row r="79" spans="1:17" s="67" customFormat="1" x14ac:dyDescent="0.25">
      <c r="A79" s="398"/>
      <c r="B79" s="161"/>
      <c r="C79" s="668"/>
      <c r="D79" s="140"/>
      <c r="E79" s="140"/>
      <c r="F79" s="94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</row>
    <row r="80" spans="1:17" s="67" customFormat="1" x14ac:dyDescent="0.25">
      <c r="A80" s="148"/>
      <c r="B80" s="140" t="s">
        <v>147</v>
      </c>
      <c r="C80" s="150"/>
      <c r="D80" s="100"/>
      <c r="E80" s="100"/>
      <c r="F80" s="45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</row>
    <row r="81" spans="1:17" s="67" customFormat="1" x14ac:dyDescent="0.25">
      <c r="A81" s="398"/>
      <c r="B81" s="140"/>
      <c r="C81" s="667" t="s">
        <v>145</v>
      </c>
      <c r="D81" s="100"/>
      <c r="E81" s="100"/>
      <c r="F81" s="45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</row>
    <row r="82" spans="1:17" x14ac:dyDescent="0.25">
      <c r="A82" s="398"/>
      <c r="B82" s="161"/>
      <c r="C82" s="150" t="s">
        <v>148</v>
      </c>
      <c r="D82" s="100"/>
      <c r="E82" s="100"/>
      <c r="F82" s="45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</row>
    <row r="83" spans="1:17" x14ac:dyDescent="0.25">
      <c r="A83" s="399"/>
      <c r="B83" s="73"/>
      <c r="C83" s="73"/>
      <c r="D83" s="18"/>
      <c r="E83" s="18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</row>
    <row r="84" spans="1:17" x14ac:dyDescent="0.25">
      <c r="A84" s="399"/>
      <c r="B84" s="73"/>
      <c r="C84" s="73"/>
      <c r="D84" s="18"/>
      <c r="E84" s="18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</row>
    <row r="85" spans="1:17" s="76" customFormat="1" x14ac:dyDescent="0.25">
      <c r="A85" s="398"/>
      <c r="B85" s="69"/>
      <c r="C85" s="73"/>
      <c r="D85" s="74"/>
      <c r="E85" s="74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</row>
    <row r="86" spans="1:17" s="76" customFormat="1" x14ac:dyDescent="0.25">
      <c r="A86" s="398"/>
      <c r="B86" s="69"/>
      <c r="C86" s="73"/>
      <c r="D86" s="74"/>
      <c r="E86" s="74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</row>
    <row r="87" spans="1:17" s="76" customFormat="1" x14ac:dyDescent="0.25">
      <c r="A87" s="398"/>
      <c r="B87" s="69"/>
      <c r="C87" s="73"/>
      <c r="D87" s="74"/>
      <c r="E87" s="74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</row>
    <row r="88" spans="1:17" s="76" customFormat="1" x14ac:dyDescent="0.25">
      <c r="A88" s="400"/>
      <c r="B88" s="70"/>
      <c r="C88" s="77"/>
      <c r="D88" s="78"/>
      <c r="E88" s="78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</row>
    <row r="89" spans="1:17" s="67" customFormat="1" x14ac:dyDescent="0.25">
      <c r="A89" s="400"/>
      <c r="B89" s="70"/>
      <c r="C89" s="77"/>
      <c r="D89" s="78"/>
      <c r="E89" s="78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</row>
    <row r="90" spans="1:17" x14ac:dyDescent="0.25">
      <c r="A90" s="400"/>
      <c r="B90" s="70"/>
      <c r="C90" s="77"/>
      <c r="D90" s="78"/>
      <c r="E90" s="7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s="67" customFormat="1" x14ac:dyDescent="0.25">
      <c r="A91" s="39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s="67" customFormat="1" x14ac:dyDescent="0.25">
      <c r="A92" s="39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s="67" customFormat="1" x14ac:dyDescent="0.25">
      <c r="A93" s="39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s="733" customFormat="1" x14ac:dyDescent="0.25">
      <c r="A94" s="399"/>
      <c r="B94" s="18"/>
      <c r="C94" s="18"/>
      <c r="D94" s="18"/>
      <c r="E94" s="18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</row>
    <row r="95" spans="1:17" s="733" customFormat="1" x14ac:dyDescent="0.25">
      <c r="A95" s="398"/>
      <c r="B95" s="69"/>
      <c r="C95" s="73"/>
      <c r="D95" s="74"/>
      <c r="E95" s="74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</row>
    <row r="96" spans="1:17" s="79" customFormat="1" x14ac:dyDescent="0.25">
      <c r="A96" s="400"/>
      <c r="B96" s="70"/>
      <c r="C96" s="77"/>
      <c r="D96" s="78"/>
      <c r="E96" s="78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</row>
    <row r="97" spans="1:17" s="79" customFormat="1" x14ac:dyDescent="0.25">
      <c r="A97" s="398"/>
      <c r="B97" s="69"/>
      <c r="C97" s="73"/>
      <c r="D97" s="74"/>
      <c r="E97" s="74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</row>
    <row r="98" spans="1:17" s="79" customFormat="1" x14ac:dyDescent="0.25">
      <c r="A98" s="398"/>
      <c r="B98" s="69"/>
      <c r="C98" s="73"/>
      <c r="D98" s="74"/>
      <c r="E98" s="74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</row>
    <row r="99" spans="1:17" s="79" customFormat="1" x14ac:dyDescent="0.25">
      <c r="A99" s="398"/>
      <c r="B99" s="69"/>
      <c r="C99" s="73"/>
      <c r="D99" s="74"/>
      <c r="E99" s="74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s="72" customFormat="1" x14ac:dyDescent="0.25">
      <c r="A100" s="400"/>
      <c r="B100" s="78"/>
      <c r="C100" s="22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s="72" customFormat="1" x14ac:dyDescent="0.25">
      <c r="A101" s="400"/>
      <c r="B101" s="78"/>
      <c r="C101" s="22"/>
      <c r="D101" s="78"/>
      <c r="E101" s="78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</row>
    <row r="102" spans="1:17" s="67" customFormat="1" x14ac:dyDescent="0.25">
      <c r="A102" s="401"/>
      <c r="B102" s="77"/>
      <c r="C102" s="77"/>
      <c r="D102" s="22"/>
      <c r="E102" s="22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</row>
    <row r="103" spans="1:17" s="67" customFormat="1" x14ac:dyDescent="0.25">
      <c r="A103" s="401"/>
      <c r="B103" s="77"/>
      <c r="C103" s="77"/>
      <c r="D103" s="22"/>
      <c r="E103" s="22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</row>
    <row r="104" spans="1:17" s="67" customFormat="1" x14ac:dyDescent="0.25">
      <c r="A104" s="401"/>
      <c r="B104" s="77"/>
      <c r="C104" s="77"/>
      <c r="D104" s="22"/>
      <c r="E104" s="22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</row>
    <row r="105" spans="1:17" x14ac:dyDescent="0.25">
      <c r="A105" s="401"/>
      <c r="B105" s="77"/>
      <c r="C105" s="77"/>
      <c r="D105" s="22"/>
      <c r="E105" s="22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1:17" s="80" customFormat="1" x14ac:dyDescent="0.25">
      <c r="A106" s="399"/>
      <c r="B106" s="73"/>
      <c r="C106" s="73"/>
      <c r="D106" s="18"/>
      <c r="E106" s="18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1:17" s="80" customFormat="1" x14ac:dyDescent="0.25">
      <c r="A107" s="399"/>
      <c r="B107" s="73"/>
      <c r="C107" s="73"/>
      <c r="D107" s="18"/>
      <c r="E107" s="18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</row>
    <row r="108" spans="1:17" x14ac:dyDescent="0.25">
      <c r="A108" s="398"/>
      <c r="B108" s="69"/>
      <c r="C108" s="73"/>
      <c r="D108" s="74"/>
      <c r="E108" s="74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</row>
    <row r="109" spans="1:17" x14ac:dyDescent="0.25">
      <c r="A109" s="398"/>
      <c r="B109" s="69"/>
      <c r="C109" s="73"/>
      <c r="D109" s="74"/>
      <c r="E109" s="74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</row>
    <row r="110" spans="1:17" s="72" customFormat="1" x14ac:dyDescent="0.25">
      <c r="A110" s="398"/>
      <c r="B110" s="69"/>
      <c r="C110" s="73"/>
      <c r="D110" s="74"/>
      <c r="E110" s="74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</row>
    <row r="111" spans="1:17" s="72" customFormat="1" x14ac:dyDescent="0.25">
      <c r="A111" s="400"/>
      <c r="B111" s="70"/>
      <c r="C111" s="77"/>
      <c r="D111" s="78"/>
      <c r="E111" s="78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</row>
    <row r="112" spans="1:17" s="72" customFormat="1" x14ac:dyDescent="0.25">
      <c r="A112" s="402"/>
      <c r="B112" s="80"/>
      <c r="C112" s="81"/>
      <c r="D112" s="82"/>
      <c r="E112" s="82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</row>
    <row r="113" spans="1:17" x14ac:dyDescent="0.25">
      <c r="A113" s="402"/>
      <c r="B113" s="80"/>
      <c r="C113" s="81"/>
      <c r="D113" s="82"/>
      <c r="E113" s="82"/>
      <c r="F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</row>
    <row r="114" spans="1:17" s="80" customFormat="1" x14ac:dyDescent="0.25">
      <c r="A114" s="400"/>
      <c r="B114" s="70"/>
      <c r="C114" s="77"/>
      <c r="D114" s="78"/>
      <c r="E114" s="78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</row>
    <row r="115" spans="1:17" s="80" customFormat="1" x14ac:dyDescent="0.25">
      <c r="A115" s="400"/>
      <c r="B115" s="70"/>
      <c r="C115" s="77"/>
      <c r="D115" s="78"/>
      <c r="E115" s="78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</row>
    <row r="116" spans="1:17" s="80" customFormat="1" x14ac:dyDescent="0.25">
      <c r="A116" s="399"/>
      <c r="B116" s="73"/>
      <c r="C116" s="73"/>
      <c r="D116" s="18"/>
      <c r="E116" s="18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1:17" s="80" customFormat="1" x14ac:dyDescent="0.25">
      <c r="A117" s="399"/>
      <c r="B117" s="73"/>
      <c r="C117" s="73"/>
      <c r="D117" s="18"/>
      <c r="E117" s="18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</row>
    <row r="118" spans="1:17" s="80" customFormat="1" x14ac:dyDescent="0.25">
      <c r="A118" s="399"/>
      <c r="B118" s="73"/>
      <c r="C118" s="73"/>
      <c r="D118" s="18"/>
      <c r="E118" s="18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</row>
    <row r="119" spans="1:17" s="80" customFormat="1" x14ac:dyDescent="0.25">
      <c r="A119" s="400"/>
      <c r="B119" s="70"/>
      <c r="C119" s="77"/>
      <c r="D119" s="78"/>
      <c r="E119" s="78"/>
    </row>
    <row r="120" spans="1:17" s="80" customFormat="1" x14ac:dyDescent="0.25">
      <c r="A120" s="402"/>
      <c r="C120" s="81"/>
      <c r="D120" s="82"/>
      <c r="E120" s="82"/>
    </row>
    <row r="121" spans="1:17" s="80" customFormat="1" x14ac:dyDescent="0.25">
      <c r="A121" s="402"/>
      <c r="C121" s="81"/>
      <c r="D121" s="82"/>
      <c r="E121" s="82"/>
    </row>
    <row r="122" spans="1:17" s="80" customFormat="1" x14ac:dyDescent="0.25">
      <c r="A122" s="402"/>
      <c r="C122" s="81"/>
      <c r="D122" s="82"/>
      <c r="E122" s="82"/>
    </row>
    <row r="123" spans="1:17" s="80" customFormat="1" x14ac:dyDescent="0.25">
      <c r="A123" s="402"/>
      <c r="C123" s="81"/>
      <c r="D123" s="82"/>
      <c r="E123" s="82"/>
    </row>
    <row r="124" spans="1:17" s="80" customFormat="1" x14ac:dyDescent="0.25">
      <c r="A124" s="402"/>
      <c r="C124" s="81"/>
      <c r="D124" s="82"/>
      <c r="E124" s="82"/>
    </row>
    <row r="125" spans="1:17" s="80" customFormat="1" x14ac:dyDescent="0.25">
      <c r="A125" s="402"/>
      <c r="C125" s="81"/>
      <c r="D125" s="82"/>
      <c r="E125" s="82"/>
    </row>
    <row r="126" spans="1:17" s="80" customFormat="1" x14ac:dyDescent="0.25">
      <c r="A126" s="402"/>
      <c r="C126" s="81"/>
      <c r="D126" s="82"/>
      <c r="E126" s="82"/>
    </row>
    <row r="127" spans="1:17" s="80" customFormat="1" x14ac:dyDescent="0.25">
      <c r="A127" s="402"/>
      <c r="C127" s="81"/>
      <c r="D127" s="82"/>
      <c r="E127" s="82"/>
    </row>
    <row r="128" spans="1:17" s="80" customFormat="1" x14ac:dyDescent="0.25">
      <c r="A128" s="402"/>
      <c r="C128" s="81"/>
      <c r="D128" s="82"/>
      <c r="E128" s="82"/>
    </row>
    <row r="129" spans="1:17" s="80" customFormat="1" x14ac:dyDescent="0.25">
      <c r="A129" s="402"/>
      <c r="C129" s="81"/>
      <c r="D129" s="82"/>
      <c r="E129" s="82"/>
    </row>
    <row r="130" spans="1:17" x14ac:dyDescent="0.25">
      <c r="A130" s="402"/>
      <c r="B130" s="80"/>
      <c r="C130" s="81"/>
      <c r="D130" s="82"/>
      <c r="E130" s="82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</row>
    <row r="131" spans="1:17" x14ac:dyDescent="0.25">
      <c r="A131" s="402"/>
      <c r="B131" s="80"/>
      <c r="C131" s="81"/>
      <c r="D131" s="82"/>
      <c r="E131" s="82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</row>
    <row r="132" spans="1:17" x14ac:dyDescent="0.25">
      <c r="A132" s="402"/>
      <c r="B132" s="80"/>
      <c r="C132" s="81"/>
      <c r="D132" s="82"/>
      <c r="E132" s="82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</row>
    <row r="133" spans="1:17" x14ac:dyDescent="0.25">
      <c r="A133" s="402"/>
      <c r="B133" s="80"/>
      <c r="C133" s="81"/>
      <c r="D133" s="82"/>
      <c r="E133" s="82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</row>
    <row r="134" spans="1:17" x14ac:dyDescent="0.25">
      <c r="A134" s="402"/>
      <c r="B134" s="80"/>
      <c r="C134" s="81"/>
      <c r="D134" s="82"/>
      <c r="E134" s="82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</row>
    <row r="135" spans="1:17" x14ac:dyDescent="0.25">
      <c r="A135" s="402"/>
      <c r="B135" s="80"/>
      <c r="C135" s="81"/>
      <c r="D135" s="82"/>
      <c r="E135" s="82"/>
      <c r="G135" s="75"/>
    </row>
    <row r="136" spans="1:17" x14ac:dyDescent="0.25">
      <c r="C136" s="79"/>
      <c r="G136" s="75"/>
    </row>
    <row r="137" spans="1:17" x14ac:dyDescent="0.25">
      <c r="C137" s="79"/>
      <c r="G137" s="75"/>
    </row>
    <row r="138" spans="1:17" x14ac:dyDescent="0.25">
      <c r="C138" s="79"/>
      <c r="G138" s="75"/>
    </row>
    <row r="139" spans="1:17" x14ac:dyDescent="0.25">
      <c r="C139" s="79"/>
      <c r="G139" s="75"/>
    </row>
    <row r="140" spans="1:17" x14ac:dyDescent="0.25">
      <c r="C140" s="79"/>
      <c r="G140" s="75"/>
    </row>
    <row r="141" spans="1:17" x14ac:dyDescent="0.25">
      <c r="C141" s="79"/>
      <c r="G141" s="75"/>
    </row>
    <row r="142" spans="1:17" x14ac:dyDescent="0.25">
      <c r="C142" s="79"/>
      <c r="G142" s="75"/>
    </row>
    <row r="143" spans="1:17" x14ac:dyDescent="0.25">
      <c r="C143" s="79"/>
      <c r="G143" s="75"/>
    </row>
    <row r="144" spans="1:17" x14ac:dyDescent="0.25">
      <c r="C144" s="79"/>
    </row>
  </sheetData>
  <autoFilter ref="A12:IL71" xr:uid="{00000000-0009-0000-0000-000011000000}"/>
  <mergeCells count="8">
    <mergeCell ref="A1:G1"/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GZ143"/>
  <sheetViews>
    <sheetView view="pageBreakPreview" topLeftCell="A34" zoomScale="85" zoomScaleSheetLayoutView="85" workbookViewId="0">
      <selection activeCell="C55" sqref="C55"/>
    </sheetView>
  </sheetViews>
  <sheetFormatPr defaultColWidth="8.7109375" defaultRowHeight="11.25" x14ac:dyDescent="0.25"/>
  <cols>
    <col min="1" max="1" width="3.7109375" style="68" customWidth="1"/>
    <col min="2" max="2" width="4.42578125" style="75" customWidth="1"/>
    <col min="3" max="3" width="40.7109375" style="84" customWidth="1"/>
    <col min="4" max="4" width="8.5703125" style="733" customWidth="1"/>
    <col min="5" max="5" width="7.28515625" style="733" customWidth="1"/>
    <col min="6" max="6" width="4.42578125" style="75" hidden="1" customWidth="1"/>
    <col min="7" max="7" width="7.5703125" style="70" customWidth="1"/>
    <col min="8" max="9" width="7.5703125" style="75" customWidth="1"/>
    <col min="10" max="10" width="6" style="75" customWidth="1"/>
    <col min="11" max="17" width="7.5703125" style="75" customWidth="1"/>
    <col min="18" max="16384" width="8.7109375" style="75"/>
  </cols>
  <sheetData>
    <row r="1" spans="1:17" s="67" customFormat="1" ht="12" thickBot="1" x14ac:dyDescent="0.3">
      <c r="A1" s="859" t="s">
        <v>6</v>
      </c>
      <c r="B1" s="859"/>
      <c r="C1" s="859"/>
      <c r="D1" s="859"/>
      <c r="E1" s="859"/>
      <c r="F1" s="859"/>
      <c r="G1" s="860"/>
      <c r="H1" s="1">
        <f>KPDV!A28</f>
        <v>16</v>
      </c>
      <c r="I1" s="64"/>
      <c r="J1" s="64"/>
      <c r="K1" s="64"/>
      <c r="L1" s="64"/>
      <c r="M1" s="64"/>
      <c r="N1" s="64"/>
      <c r="O1" s="64"/>
      <c r="P1" s="64"/>
      <c r="Q1" s="64"/>
    </row>
    <row r="2" spans="1:17" s="67" customFormat="1" x14ac:dyDescent="0.25">
      <c r="A2" s="396"/>
      <c r="B2" s="746"/>
      <c r="C2" s="195" t="s">
        <v>404</v>
      </c>
      <c r="D2" s="746"/>
      <c r="E2" s="746"/>
      <c r="F2" s="746"/>
      <c r="G2" s="196"/>
      <c r="H2" s="184"/>
      <c r="I2" s="64"/>
      <c r="J2" s="64"/>
      <c r="K2" s="64"/>
      <c r="L2" s="64"/>
      <c r="M2" s="64"/>
      <c r="N2" s="64"/>
      <c r="O2" s="64"/>
      <c r="P2" s="64"/>
      <c r="Q2" s="64"/>
    </row>
    <row r="3" spans="1:17" s="67" customFormat="1" x14ac:dyDescent="0.25">
      <c r="A3" s="190" t="str">
        <f>nos</f>
        <v>Būves nosaukums:  Dzīvojamās māja</v>
      </c>
      <c r="B3" s="197"/>
      <c r="C3" s="198"/>
      <c r="D3" s="199"/>
      <c r="E3" s="199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7" s="67" customFormat="1" x14ac:dyDescent="0.25">
      <c r="A4" s="168" t="str">
        <f>obj</f>
        <v>Objekta nosaukums: Dzīvojamās ēkas fasādes vienkāršota atjaunošana</v>
      </c>
      <c r="B4" s="197"/>
      <c r="C4" s="198"/>
      <c r="D4" s="199"/>
      <c r="E4" s="199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7" s="67" customFormat="1" x14ac:dyDescent="0.25">
      <c r="A5" s="168" t="str">
        <f>adres</f>
        <v>Objekta adrese: Aisteres iela 7, Liepājā</v>
      </c>
      <c r="B5" s="197"/>
      <c r="C5" s="198"/>
      <c r="D5" s="199"/>
      <c r="E5" s="199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200"/>
    </row>
    <row r="6" spans="1:17" s="67" customFormat="1" ht="12" thickBot="1" x14ac:dyDescent="0.3">
      <c r="A6" s="168" t="str">
        <f>nr</f>
        <v>Pasūtījuma Nr.WS-41-17</v>
      </c>
      <c r="B6" s="197"/>
      <c r="C6" s="198"/>
      <c r="D6" s="199"/>
      <c r="E6" s="199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</row>
    <row r="7" spans="1:17" s="67" customFormat="1" ht="23.25" thickBot="1" x14ac:dyDescent="0.3">
      <c r="A7" s="190"/>
      <c r="B7" s="7"/>
      <c r="C7" s="186" t="s">
        <v>695</v>
      </c>
      <c r="D7" s="162"/>
      <c r="E7" s="171" t="s">
        <v>721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6">
        <f>Q72</f>
        <v>0</v>
      </c>
    </row>
    <row r="8" spans="1:17" s="67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201"/>
    </row>
    <row r="9" spans="1:17" s="734" customFormat="1" x14ac:dyDescent="0.25">
      <c r="A9" s="830" t="s">
        <v>7</v>
      </c>
      <c r="B9" s="831" t="s">
        <v>8</v>
      </c>
      <c r="C9" s="835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734" customFormat="1" ht="51.75" x14ac:dyDescent="0.25">
      <c r="A10" s="830"/>
      <c r="B10" s="831"/>
      <c r="C10" s="835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68" customFormat="1" x14ac:dyDescent="0.25">
      <c r="A11" s="397">
        <v>1</v>
      </c>
      <c r="B11" s="235">
        <f>A11+1</f>
        <v>2</v>
      </c>
      <c r="C11" s="236">
        <f>B11+1</f>
        <v>3</v>
      </c>
      <c r="D11" s="235">
        <f>C11+1</f>
        <v>4</v>
      </c>
      <c r="E11" s="235">
        <f>D11+1</f>
        <v>5</v>
      </c>
      <c r="F11" s="235"/>
      <c r="G11" s="235">
        <f>E11+1</f>
        <v>6</v>
      </c>
      <c r="H11" s="235">
        <f t="shared" ref="H11:Q11" si="0">G11+1</f>
        <v>7</v>
      </c>
      <c r="I11" s="235">
        <f t="shared" si="0"/>
        <v>8</v>
      </c>
      <c r="J11" s="235">
        <f t="shared" si="0"/>
        <v>9</v>
      </c>
      <c r="K11" s="235">
        <f t="shared" si="0"/>
        <v>10</v>
      </c>
      <c r="L11" s="235">
        <f t="shared" si="0"/>
        <v>11</v>
      </c>
      <c r="M11" s="235">
        <f t="shared" si="0"/>
        <v>12</v>
      </c>
      <c r="N11" s="235">
        <f t="shared" si="0"/>
        <v>13</v>
      </c>
      <c r="O11" s="235">
        <f t="shared" si="0"/>
        <v>14</v>
      </c>
      <c r="P11" s="235">
        <f t="shared" si="0"/>
        <v>15</v>
      </c>
      <c r="Q11" s="235">
        <f t="shared" si="0"/>
        <v>16</v>
      </c>
    </row>
    <row r="12" spans="1:17" s="2" customFormat="1" x14ac:dyDescent="0.25">
      <c r="A12" s="57" t="str">
        <f>IF(COUNTBLANK(B12)=1," ",COUNTA($B$12:B12))</f>
        <v xml:space="preserve"> </v>
      </c>
      <c r="B12" s="150"/>
      <c r="C12" s="674" t="s">
        <v>405</v>
      </c>
      <c r="D12" s="150"/>
      <c r="E12" s="150"/>
      <c r="F12" s="136"/>
      <c r="G12" s="136"/>
      <c r="H12" s="136"/>
      <c r="I12" s="12"/>
      <c r="J12" s="12"/>
      <c r="K12" s="136"/>
      <c r="L12" s="11"/>
      <c r="M12" s="11"/>
      <c r="N12" s="11"/>
      <c r="O12" s="11"/>
      <c r="P12" s="11"/>
      <c r="Q12" s="11"/>
    </row>
    <row r="13" spans="1:17" s="3" customFormat="1" ht="22.5" x14ac:dyDescent="0.25">
      <c r="A13" s="57">
        <f>IF(COUNTBLANK(B13)=1," ",COUNTA($B$12:B13))</f>
        <v>1</v>
      </c>
      <c r="B13" s="9" t="s">
        <v>14</v>
      </c>
      <c r="C13" s="54" t="s">
        <v>244</v>
      </c>
      <c r="D13" s="743" t="s">
        <v>17</v>
      </c>
      <c r="E13" s="743">
        <v>1.4</v>
      </c>
      <c r="F13" s="136"/>
      <c r="G13" s="437"/>
      <c r="H13" s="271"/>
      <c r="I13" s="438"/>
      <c r="J13" s="439"/>
      <c r="K13" s="438"/>
      <c r="L13" s="315"/>
      <c r="M13" s="315"/>
      <c r="N13" s="315"/>
      <c r="O13" s="315"/>
      <c r="P13" s="315"/>
      <c r="Q13" s="315"/>
    </row>
    <row r="14" spans="1:17" s="96" customFormat="1" x14ac:dyDescent="0.25">
      <c r="A14" s="57">
        <f>IF(COUNTBLANK(B14)=1," ",COUNTA($B$12:B14))</f>
        <v>2</v>
      </c>
      <c r="B14" s="9" t="s">
        <v>14</v>
      </c>
      <c r="C14" s="54" t="s">
        <v>245</v>
      </c>
      <c r="D14" s="743" t="s">
        <v>17</v>
      </c>
      <c r="E14" s="53">
        <v>4.2</v>
      </c>
      <c r="F14" s="136"/>
      <c r="G14" s="437"/>
      <c r="H14" s="271"/>
      <c r="I14" s="438"/>
      <c r="J14" s="439"/>
      <c r="K14" s="438"/>
      <c r="L14" s="315"/>
      <c r="M14" s="315"/>
      <c r="N14" s="315"/>
      <c r="O14" s="315"/>
      <c r="P14" s="315"/>
      <c r="Q14" s="315"/>
    </row>
    <row r="15" spans="1:17" s="3" customFormat="1" ht="22.5" x14ac:dyDescent="0.25">
      <c r="A15" s="57">
        <f>IF(COUNTBLANK(B15)=1," ",COUNTA($B$12:B15))</f>
        <v>3</v>
      </c>
      <c r="B15" s="9" t="s">
        <v>14</v>
      </c>
      <c r="C15" s="54" t="s">
        <v>246</v>
      </c>
      <c r="D15" s="743" t="s">
        <v>17</v>
      </c>
      <c r="E15" s="53">
        <v>3.6</v>
      </c>
      <c r="F15" s="136"/>
      <c r="G15" s="437"/>
      <c r="H15" s="271"/>
      <c r="I15" s="438"/>
      <c r="J15" s="439"/>
      <c r="K15" s="438"/>
      <c r="L15" s="315"/>
      <c r="M15" s="315"/>
      <c r="N15" s="315"/>
      <c r="O15" s="315"/>
      <c r="P15" s="315"/>
      <c r="Q15" s="315"/>
    </row>
    <row r="16" spans="1:17" s="3" customFormat="1" ht="22.5" x14ac:dyDescent="0.25">
      <c r="A16" s="57">
        <f>IF(COUNTBLANK(B16)=1," ",COUNTA($B$12:B16))</f>
        <v>4</v>
      </c>
      <c r="B16" s="9" t="s">
        <v>14</v>
      </c>
      <c r="C16" s="54" t="s">
        <v>247</v>
      </c>
      <c r="D16" s="743" t="s">
        <v>17</v>
      </c>
      <c r="E16" s="53">
        <v>11.6</v>
      </c>
      <c r="F16" s="136"/>
      <c r="G16" s="437"/>
      <c r="H16" s="271"/>
      <c r="I16" s="438"/>
      <c r="J16" s="439"/>
      <c r="K16" s="438"/>
      <c r="L16" s="315"/>
      <c r="M16" s="315"/>
      <c r="N16" s="315"/>
      <c r="O16" s="315"/>
      <c r="P16" s="315"/>
      <c r="Q16" s="315"/>
    </row>
    <row r="17" spans="1:208" s="3" customFormat="1" ht="22.5" x14ac:dyDescent="0.25">
      <c r="A17" s="57">
        <f>IF(COUNTBLANK(B17)=1," ",COUNTA($B$12:B17))</f>
        <v>5</v>
      </c>
      <c r="B17" s="9" t="s">
        <v>14</v>
      </c>
      <c r="C17" s="54" t="s">
        <v>248</v>
      </c>
      <c r="D17" s="743" t="s">
        <v>17</v>
      </c>
      <c r="E17" s="53">
        <v>11.6</v>
      </c>
      <c r="F17" s="316"/>
      <c r="G17" s="211"/>
      <c r="H17" s="271"/>
      <c r="I17" s="438"/>
      <c r="J17" s="439"/>
      <c r="K17" s="438"/>
      <c r="L17" s="315"/>
      <c r="M17" s="315"/>
      <c r="N17" s="315"/>
      <c r="O17" s="315"/>
      <c r="P17" s="315"/>
      <c r="Q17" s="31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65"/>
      <c r="GP17" s="265"/>
      <c r="GQ17" s="265"/>
      <c r="GR17" s="265"/>
      <c r="GS17" s="265"/>
      <c r="GT17" s="265"/>
    </row>
    <row r="18" spans="1:208" s="3" customFormat="1" x14ac:dyDescent="0.25">
      <c r="A18" s="57" t="str">
        <f>IF(COUNTBLANK(B18)=1," ",COUNTA($B$12:B18))</f>
        <v xml:space="preserve"> </v>
      </c>
      <c r="B18" s="9"/>
      <c r="C18" s="14" t="s">
        <v>229</v>
      </c>
      <c r="D18" s="290" t="s">
        <v>26</v>
      </c>
      <c r="E18" s="290">
        <f>E17*F18</f>
        <v>0.34799999999999998</v>
      </c>
      <c r="F18" s="290">
        <v>0.03</v>
      </c>
      <c r="G18" s="34"/>
      <c r="H18" s="271"/>
      <c r="I18" s="34"/>
      <c r="J18" s="55"/>
      <c r="K18" s="438"/>
      <c r="L18" s="315"/>
      <c r="M18" s="315"/>
      <c r="N18" s="315"/>
      <c r="O18" s="315"/>
      <c r="P18" s="315"/>
      <c r="Q18" s="31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  <c r="EK18" s="265"/>
      <c r="EL18" s="265"/>
      <c r="EM18" s="265"/>
      <c r="EN18" s="265"/>
      <c r="EO18" s="265"/>
      <c r="EP18" s="265"/>
      <c r="EQ18" s="265"/>
      <c r="ER18" s="265"/>
      <c r="ES18" s="265"/>
      <c r="ET18" s="265"/>
      <c r="EU18" s="265"/>
      <c r="EV18" s="265"/>
      <c r="EW18" s="265"/>
      <c r="EX18" s="265"/>
      <c r="EY18" s="265"/>
      <c r="EZ18" s="265"/>
      <c r="FA18" s="265"/>
      <c r="FB18" s="265"/>
      <c r="FC18" s="265"/>
      <c r="FD18" s="265"/>
      <c r="FE18" s="265"/>
      <c r="FF18" s="265"/>
      <c r="FG18" s="265"/>
      <c r="FH18" s="265"/>
      <c r="FI18" s="265"/>
      <c r="FJ18" s="265"/>
      <c r="FK18" s="265"/>
      <c r="FL18" s="265"/>
      <c r="FM18" s="265"/>
      <c r="FN18" s="265"/>
      <c r="FO18" s="265"/>
      <c r="FP18" s="265"/>
      <c r="FQ18" s="265"/>
      <c r="FR18" s="265"/>
      <c r="FS18" s="265"/>
      <c r="FT18" s="265"/>
      <c r="FU18" s="265"/>
      <c r="FV18" s="265"/>
      <c r="FW18" s="265"/>
      <c r="FX18" s="265"/>
      <c r="FY18" s="265"/>
      <c r="FZ18" s="265"/>
      <c r="GA18" s="265"/>
      <c r="GB18" s="265"/>
      <c r="GC18" s="265"/>
      <c r="GD18" s="265"/>
      <c r="GE18" s="265"/>
      <c r="GF18" s="265"/>
      <c r="GG18" s="265"/>
      <c r="GH18" s="265"/>
      <c r="GI18" s="265"/>
      <c r="GJ18" s="265"/>
      <c r="GK18" s="265"/>
      <c r="GL18" s="265"/>
      <c r="GM18" s="265"/>
      <c r="GN18" s="265"/>
      <c r="GO18" s="265"/>
      <c r="GP18" s="265"/>
      <c r="GQ18" s="265"/>
      <c r="GR18" s="265"/>
      <c r="GS18" s="265"/>
      <c r="GT18" s="265"/>
    </row>
    <row r="19" spans="1:208" s="3" customFormat="1" ht="15" x14ac:dyDescent="0.25">
      <c r="A19" s="57">
        <f>IF(COUNTBLANK(B19)=1," ",COUNTA($B$12:B19))</f>
        <v>6</v>
      </c>
      <c r="B19" s="9" t="s">
        <v>14</v>
      </c>
      <c r="C19" s="54" t="s">
        <v>249</v>
      </c>
      <c r="D19" s="743" t="s">
        <v>17</v>
      </c>
      <c r="E19" s="53">
        <v>4</v>
      </c>
      <c r="F19" s="274"/>
      <c r="G19" s="437"/>
      <c r="H19" s="271"/>
      <c r="I19" s="438"/>
      <c r="J19" s="439"/>
      <c r="K19" s="438"/>
      <c r="L19" s="315"/>
      <c r="M19" s="315"/>
      <c r="N19" s="315"/>
      <c r="O19" s="315"/>
      <c r="P19" s="315"/>
      <c r="Q19" s="315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  <c r="CA19" s="262"/>
      <c r="CB19" s="262"/>
      <c r="CC19" s="262"/>
      <c r="CD19" s="262"/>
      <c r="CE19" s="262"/>
      <c r="CF19" s="262"/>
      <c r="CG19" s="262"/>
      <c r="CH19" s="262"/>
      <c r="CI19" s="262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262"/>
      <c r="CU19" s="262"/>
      <c r="CV19" s="262"/>
      <c r="CW19" s="262"/>
      <c r="CX19" s="262"/>
      <c r="CY19" s="262"/>
      <c r="CZ19" s="262"/>
      <c r="DA19" s="262"/>
      <c r="DB19" s="262"/>
      <c r="DC19" s="262"/>
      <c r="DD19" s="262"/>
      <c r="DE19" s="262"/>
      <c r="DF19" s="262"/>
      <c r="DG19" s="262"/>
      <c r="DH19" s="262"/>
      <c r="DI19" s="262"/>
      <c r="DJ19" s="262"/>
      <c r="DK19" s="262"/>
      <c r="DL19" s="262"/>
      <c r="DM19" s="262"/>
      <c r="DN19" s="262"/>
      <c r="DO19" s="262"/>
      <c r="DP19" s="262"/>
      <c r="DQ19" s="262"/>
      <c r="DR19" s="262"/>
      <c r="DS19" s="262"/>
      <c r="DT19" s="262"/>
      <c r="DU19" s="262"/>
      <c r="DV19" s="262"/>
      <c r="DW19" s="262"/>
      <c r="DX19" s="262"/>
      <c r="DY19" s="262"/>
      <c r="DZ19" s="262"/>
      <c r="EA19" s="262"/>
      <c r="EB19" s="262"/>
      <c r="EC19" s="262"/>
      <c r="ED19" s="262"/>
      <c r="EE19" s="262"/>
      <c r="EF19" s="262"/>
      <c r="EG19" s="262"/>
      <c r="EH19" s="262"/>
      <c r="EI19" s="262"/>
      <c r="EJ19" s="262"/>
      <c r="EK19" s="262"/>
      <c r="EL19" s="262"/>
      <c r="EM19" s="262"/>
      <c r="EN19" s="262"/>
      <c r="EO19" s="262"/>
      <c r="EP19" s="262"/>
      <c r="EQ19" s="262"/>
      <c r="ER19" s="262"/>
      <c r="ES19" s="262"/>
      <c r="ET19" s="262"/>
      <c r="EU19" s="262"/>
      <c r="EV19" s="262"/>
      <c r="EW19" s="262"/>
      <c r="EX19" s="262"/>
      <c r="EY19" s="262"/>
      <c r="EZ19" s="262"/>
      <c r="FA19" s="262"/>
      <c r="FB19" s="262"/>
      <c r="FC19" s="262"/>
      <c r="FD19" s="262"/>
      <c r="FE19" s="262"/>
      <c r="FF19" s="262"/>
      <c r="FG19" s="262"/>
      <c r="FH19" s="262"/>
      <c r="FI19" s="262"/>
      <c r="FJ19" s="262"/>
      <c r="FK19" s="262"/>
      <c r="FL19" s="262"/>
      <c r="FM19" s="262"/>
      <c r="FN19" s="262"/>
      <c r="FO19" s="262"/>
      <c r="FP19" s="262"/>
      <c r="FQ19" s="262"/>
      <c r="FR19" s="262"/>
      <c r="FS19" s="262"/>
      <c r="FT19" s="262"/>
      <c r="FU19" s="262"/>
      <c r="FV19" s="262"/>
      <c r="FW19" s="262"/>
      <c r="FX19" s="262"/>
      <c r="FY19" s="262"/>
      <c r="FZ19" s="262"/>
      <c r="GA19" s="262"/>
      <c r="GB19" s="262"/>
      <c r="GC19" s="262"/>
      <c r="GD19" s="262"/>
      <c r="GE19" s="262"/>
      <c r="GF19" s="262"/>
      <c r="GG19" s="262"/>
      <c r="GH19" s="262"/>
      <c r="GI19" s="262"/>
      <c r="GJ19" s="262"/>
      <c r="GK19" s="262"/>
      <c r="GL19" s="262"/>
      <c r="GM19" s="262"/>
      <c r="GN19" s="262"/>
      <c r="GO19" s="262"/>
      <c r="GP19" s="262"/>
      <c r="GQ19" s="262"/>
      <c r="GR19" s="262"/>
      <c r="GS19" s="262"/>
      <c r="GT19" s="262"/>
    </row>
    <row r="20" spans="1:208" s="94" customFormat="1" ht="22.5" x14ac:dyDescent="0.25">
      <c r="A20" s="57">
        <f>IF(COUNTBLANK(B20)=1," ",COUNTA($B$12:B20))</f>
        <v>7</v>
      </c>
      <c r="B20" s="9" t="s">
        <v>14</v>
      </c>
      <c r="C20" s="14" t="s">
        <v>250</v>
      </c>
      <c r="D20" s="670" t="s">
        <v>17</v>
      </c>
      <c r="E20" s="101">
        <v>4</v>
      </c>
      <c r="F20" s="210"/>
      <c r="G20" s="211"/>
      <c r="H20" s="271"/>
      <c r="I20" s="212"/>
      <c r="J20" s="212"/>
      <c r="K20" s="211"/>
      <c r="L20" s="315"/>
      <c r="M20" s="315"/>
      <c r="N20" s="315"/>
      <c r="O20" s="315"/>
      <c r="P20" s="315"/>
      <c r="Q20" s="315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</row>
    <row r="21" spans="1:208" s="94" customFormat="1" x14ac:dyDescent="0.25">
      <c r="A21" s="57" t="str">
        <f>IF(COUNTBLANK(B21)=1," ",COUNTA($B$12:B21))</f>
        <v xml:space="preserve"> </v>
      </c>
      <c r="B21" s="381"/>
      <c r="C21" s="14" t="s">
        <v>229</v>
      </c>
      <c r="D21" s="290" t="s">
        <v>26</v>
      </c>
      <c r="E21" s="290">
        <f>E20*F21</f>
        <v>0.48</v>
      </c>
      <c r="F21" s="290">
        <v>0.12</v>
      </c>
      <c r="G21" s="34"/>
      <c r="H21" s="271"/>
      <c r="I21" s="34"/>
      <c r="J21" s="55"/>
      <c r="K21" s="34"/>
      <c r="L21" s="315"/>
      <c r="M21" s="315"/>
      <c r="N21" s="315"/>
      <c r="O21" s="315"/>
      <c r="P21" s="315"/>
      <c r="Q21" s="315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</row>
    <row r="22" spans="1:208" s="94" customFormat="1" ht="22.5" x14ac:dyDescent="0.25">
      <c r="A22" s="57">
        <f>IF(COUNTBLANK(B22)=1," ",COUNTA($B$12:B22))</f>
        <v>8</v>
      </c>
      <c r="B22" s="9" t="s">
        <v>14</v>
      </c>
      <c r="C22" s="14" t="s">
        <v>251</v>
      </c>
      <c r="D22" s="670" t="s">
        <v>17</v>
      </c>
      <c r="E22" s="101">
        <v>4</v>
      </c>
      <c r="F22" s="299"/>
      <c r="G22" s="34"/>
      <c r="H22" s="271"/>
      <c r="I22" s="34"/>
      <c r="J22" s="15"/>
      <c r="K22" s="34"/>
      <c r="L22" s="315"/>
      <c r="M22" s="315"/>
      <c r="N22" s="315"/>
      <c r="O22" s="315"/>
      <c r="P22" s="315"/>
      <c r="Q22" s="315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</row>
    <row r="23" spans="1:208" s="94" customFormat="1" x14ac:dyDescent="0.25">
      <c r="A23" s="57" t="str">
        <f>IF(COUNTBLANK(B23)=1," ",COUNTA($B$12:B23))</f>
        <v xml:space="preserve"> </v>
      </c>
      <c r="B23" s="300"/>
      <c r="C23" s="601" t="s">
        <v>221</v>
      </c>
      <c r="D23" s="290" t="s">
        <v>26</v>
      </c>
      <c r="E23" s="290">
        <f>E22*F23</f>
        <v>0.44</v>
      </c>
      <c r="F23" s="290">
        <v>0.11</v>
      </c>
      <c r="G23" s="34"/>
      <c r="H23" s="271"/>
      <c r="I23" s="34"/>
      <c r="J23" s="34"/>
      <c r="K23" s="34"/>
      <c r="L23" s="315"/>
      <c r="M23" s="315"/>
      <c r="N23" s="315"/>
      <c r="O23" s="315"/>
      <c r="P23" s="315"/>
      <c r="Q23" s="315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</row>
    <row r="24" spans="1:208" s="93" customFormat="1" x14ac:dyDescent="0.25">
      <c r="A24" s="57">
        <f>IF(COUNTBLANK(B24)=1," ",COUNTA($B$12:B24))</f>
        <v>9</v>
      </c>
      <c r="B24" s="9" t="s">
        <v>14</v>
      </c>
      <c r="C24" s="127" t="s">
        <v>252</v>
      </c>
      <c r="D24" s="670" t="s">
        <v>26</v>
      </c>
      <c r="E24" s="742">
        <v>2.2000000000000002</v>
      </c>
      <c r="F24" s="136"/>
      <c r="G24" s="34"/>
      <c r="H24" s="271"/>
      <c r="I24" s="60"/>
      <c r="J24" s="34"/>
      <c r="K24" s="34"/>
      <c r="L24" s="315"/>
      <c r="M24" s="315"/>
      <c r="N24" s="315"/>
      <c r="O24" s="315"/>
      <c r="P24" s="315"/>
      <c r="Q24" s="315"/>
    </row>
    <row r="25" spans="1:208" s="93" customFormat="1" ht="22.5" x14ac:dyDescent="0.25">
      <c r="A25" s="57">
        <f>IF(COUNTBLANK(B25)=1," ",COUNTA($B$12:B25))</f>
        <v>10</v>
      </c>
      <c r="B25" s="9" t="s">
        <v>14</v>
      </c>
      <c r="C25" s="54" t="s">
        <v>253</v>
      </c>
      <c r="D25" s="743" t="s">
        <v>26</v>
      </c>
      <c r="E25" s="10">
        <v>0.4</v>
      </c>
      <c r="F25" s="136"/>
      <c r="G25" s="211"/>
      <c r="H25" s="271"/>
      <c r="I25" s="212"/>
      <c r="J25" s="212"/>
      <c r="K25" s="211"/>
      <c r="L25" s="315"/>
      <c r="M25" s="315"/>
      <c r="N25" s="315"/>
      <c r="O25" s="315"/>
      <c r="P25" s="315"/>
      <c r="Q25" s="315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</row>
    <row r="26" spans="1:208" s="93" customFormat="1" ht="22.5" x14ac:dyDescent="0.25">
      <c r="A26" s="57">
        <f>IF(COUNTBLANK(B26)=1," ",COUNTA($B$12:B26))</f>
        <v>11</v>
      </c>
      <c r="B26" s="9" t="s">
        <v>14</v>
      </c>
      <c r="C26" s="54" t="s">
        <v>406</v>
      </c>
      <c r="D26" s="743" t="s">
        <v>23</v>
      </c>
      <c r="E26" s="53">
        <f>36*0.222</f>
        <v>7.992</v>
      </c>
      <c r="F26" s="136"/>
      <c r="G26" s="211"/>
      <c r="H26" s="271"/>
      <c r="I26" s="212"/>
      <c r="J26" s="212"/>
      <c r="K26" s="211"/>
      <c r="L26" s="315"/>
      <c r="M26" s="315"/>
      <c r="N26" s="315"/>
      <c r="O26" s="315"/>
      <c r="P26" s="315"/>
      <c r="Q26" s="31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</row>
    <row r="27" spans="1:208" s="94" customFormat="1" ht="22.5" x14ac:dyDescent="0.25">
      <c r="A27" s="57">
        <f>IF(COUNTBLANK(B27)=1," ",COUNTA($B$12:B27))</f>
        <v>12</v>
      </c>
      <c r="B27" s="9" t="s">
        <v>14</v>
      </c>
      <c r="C27" s="54" t="s">
        <v>407</v>
      </c>
      <c r="D27" s="743" t="s">
        <v>23</v>
      </c>
      <c r="E27" s="53">
        <f>51*0.42</f>
        <v>21.419999999999998</v>
      </c>
      <c r="F27" s="743"/>
      <c r="G27" s="211"/>
      <c r="H27" s="271"/>
      <c r="I27" s="212"/>
      <c r="J27" s="212"/>
      <c r="K27" s="211"/>
      <c r="L27" s="315"/>
      <c r="M27" s="315"/>
      <c r="N27" s="315"/>
      <c r="O27" s="315"/>
      <c r="P27" s="315"/>
      <c r="Q27" s="315"/>
    </row>
    <row r="28" spans="1:208" s="94" customFormat="1" x14ac:dyDescent="0.25">
      <c r="A28" s="57">
        <f>IF(COUNTBLANK(B28)=1," ",COUNTA($B$12:B28))</f>
        <v>13</v>
      </c>
      <c r="B28" s="9" t="s">
        <v>14</v>
      </c>
      <c r="C28" s="54" t="s">
        <v>256</v>
      </c>
      <c r="D28" s="743" t="s">
        <v>26</v>
      </c>
      <c r="E28" s="53">
        <v>4</v>
      </c>
      <c r="F28" s="743"/>
      <c r="G28" s="211"/>
      <c r="H28" s="271"/>
      <c r="I28" s="212"/>
      <c r="J28" s="212"/>
      <c r="K28" s="211"/>
      <c r="L28" s="315"/>
      <c r="M28" s="315"/>
      <c r="N28" s="315"/>
      <c r="O28" s="315"/>
      <c r="P28" s="315"/>
      <c r="Q28" s="315"/>
    </row>
    <row r="29" spans="1:208" s="94" customFormat="1" ht="22.5" x14ac:dyDescent="0.25">
      <c r="A29" s="57">
        <f>IF(COUNTBLANK(B29)=1," ",COUNTA($B$12:B29))</f>
        <v>14</v>
      </c>
      <c r="B29" s="9" t="s">
        <v>14</v>
      </c>
      <c r="C29" s="54" t="s">
        <v>408</v>
      </c>
      <c r="D29" s="743" t="s">
        <v>23</v>
      </c>
      <c r="E29" s="53">
        <f>5.6*2.48</f>
        <v>13.888</v>
      </c>
      <c r="F29" s="743"/>
      <c r="G29" s="211"/>
      <c r="H29" s="271"/>
      <c r="I29" s="212"/>
      <c r="J29" s="212"/>
      <c r="K29" s="211"/>
      <c r="L29" s="315"/>
      <c r="M29" s="315"/>
      <c r="N29" s="315"/>
      <c r="O29" s="315"/>
      <c r="P29" s="315"/>
      <c r="Q29" s="315"/>
    </row>
    <row r="30" spans="1:208" s="2" customFormat="1" ht="22.5" x14ac:dyDescent="0.25">
      <c r="A30" s="57">
        <f>IF(COUNTBLANK(B30)=1," ",COUNTA($B$12:B30))</f>
        <v>15</v>
      </c>
      <c r="B30" s="9" t="s">
        <v>14</v>
      </c>
      <c r="C30" s="54" t="s">
        <v>258</v>
      </c>
      <c r="D30" s="743" t="s">
        <v>233</v>
      </c>
      <c r="E30" s="743">
        <v>4</v>
      </c>
      <c r="F30" s="60"/>
      <c r="G30" s="211"/>
      <c r="H30" s="271"/>
      <c r="I30" s="212"/>
      <c r="J30" s="212"/>
      <c r="K30" s="211"/>
      <c r="L30" s="315"/>
      <c r="M30" s="315"/>
      <c r="N30" s="315"/>
      <c r="O30" s="315"/>
      <c r="P30" s="315"/>
      <c r="Q30" s="31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</row>
    <row r="31" spans="1:208" s="2" customFormat="1" ht="22.5" x14ac:dyDescent="0.25">
      <c r="A31" s="57">
        <f>IF(COUNTBLANK(B31)=1," ",COUNTA($B$12:B31))</f>
        <v>16</v>
      </c>
      <c r="B31" s="9" t="s">
        <v>14</v>
      </c>
      <c r="C31" s="14" t="s">
        <v>259</v>
      </c>
      <c r="D31" s="670" t="s">
        <v>65</v>
      </c>
      <c r="E31" s="742">
        <v>27</v>
      </c>
      <c r="F31" s="211"/>
      <c r="G31" s="60"/>
      <c r="H31" s="271"/>
      <c r="I31" s="15"/>
      <c r="J31" s="15"/>
      <c r="K31" s="60"/>
      <c r="L31" s="315"/>
      <c r="M31" s="315"/>
      <c r="N31" s="315"/>
      <c r="O31" s="315"/>
      <c r="P31" s="315"/>
      <c r="Q31" s="315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</row>
    <row r="32" spans="1:208" s="2" customFormat="1" ht="12.75" x14ac:dyDescent="0.25">
      <c r="A32" s="57" t="str">
        <f>IF(COUNTBLANK(B32)=1," ",COUNTA($B$12:B32))</f>
        <v xml:space="preserve"> </v>
      </c>
      <c r="B32" s="210"/>
      <c r="C32" s="327" t="s">
        <v>435</v>
      </c>
      <c r="D32" s="210" t="s">
        <v>23</v>
      </c>
      <c r="E32" s="420">
        <f>E31*F32</f>
        <v>32.4</v>
      </c>
      <c r="F32" s="211">
        <v>1.2</v>
      </c>
      <c r="G32" s="671"/>
      <c r="H32" s="271"/>
      <c r="I32" s="671"/>
      <c r="J32" s="127"/>
      <c r="K32" s="671"/>
      <c r="L32" s="315"/>
      <c r="M32" s="315"/>
      <c r="N32" s="315"/>
      <c r="O32" s="315"/>
      <c r="P32" s="315"/>
      <c r="Q32" s="315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</row>
    <row r="33" spans="1:208" s="2" customFormat="1" x14ac:dyDescent="0.25">
      <c r="A33" s="57" t="str">
        <f>IF(COUNTBLANK(B33)=1," ",COUNTA($B$12:B33))</f>
        <v xml:space="preserve"> </v>
      </c>
      <c r="B33" s="210"/>
      <c r="C33" s="327" t="s">
        <v>39</v>
      </c>
      <c r="D33" s="210" t="s">
        <v>23</v>
      </c>
      <c r="E33" s="209">
        <f>ROUNDUP(E31*F33,0)</f>
        <v>17</v>
      </c>
      <c r="F33" s="211">
        <v>0.6</v>
      </c>
      <c r="G33" s="211"/>
      <c r="H33" s="271"/>
      <c r="I33" s="211"/>
      <c r="J33" s="211"/>
      <c r="K33" s="211"/>
      <c r="L33" s="315"/>
      <c r="M33" s="315"/>
      <c r="N33" s="315"/>
      <c r="O33" s="315"/>
      <c r="P33" s="315"/>
      <c r="Q33" s="315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</row>
    <row r="34" spans="1:208" s="3" customFormat="1" ht="22.5" x14ac:dyDescent="0.25">
      <c r="A34" s="57">
        <f>IF(COUNTBLANK(B34)=1," ",COUNTA($B$12:B34))</f>
        <v>17</v>
      </c>
      <c r="B34" s="9" t="s">
        <v>14</v>
      </c>
      <c r="C34" s="14" t="s">
        <v>260</v>
      </c>
      <c r="D34" s="670" t="s">
        <v>16</v>
      </c>
      <c r="E34" s="742">
        <v>9</v>
      </c>
      <c r="F34" s="136"/>
      <c r="G34" s="211"/>
      <c r="H34" s="271"/>
      <c r="I34" s="212"/>
      <c r="J34" s="212"/>
      <c r="K34" s="211"/>
      <c r="L34" s="315"/>
      <c r="M34" s="315"/>
      <c r="N34" s="315"/>
      <c r="O34" s="315"/>
      <c r="P34" s="315"/>
      <c r="Q34" s="315"/>
    </row>
    <row r="35" spans="1:208" s="96" customFormat="1" x14ac:dyDescent="0.25">
      <c r="A35" s="57" t="str">
        <f>IF(COUNTBLANK(B35)=1," ",COUNTA($B$12:B35))</f>
        <v xml:space="preserve"> </v>
      </c>
      <c r="B35" s="664"/>
      <c r="C35" s="664" t="s">
        <v>409</v>
      </c>
      <c r="D35" s="664"/>
      <c r="E35" s="665"/>
      <c r="F35" s="274"/>
      <c r="G35" s="136"/>
      <c r="H35" s="271"/>
      <c r="I35" s="136"/>
      <c r="J35" s="58"/>
      <c r="K35" s="58"/>
      <c r="L35" s="315"/>
      <c r="M35" s="315"/>
      <c r="N35" s="315"/>
      <c r="O35" s="315"/>
      <c r="P35" s="315"/>
      <c r="Q35" s="315"/>
    </row>
    <row r="36" spans="1:208" s="96" customFormat="1" x14ac:dyDescent="0.25">
      <c r="A36" s="57">
        <f>IF(COUNTBLANK(B36)=1," ",COUNTA($B$12:B36))</f>
        <v>18</v>
      </c>
      <c r="B36" s="9" t="s">
        <v>14</v>
      </c>
      <c r="C36" s="95" t="s">
        <v>410</v>
      </c>
      <c r="D36" s="743" t="s">
        <v>17</v>
      </c>
      <c r="E36" s="53">
        <f>0.4*10*2</f>
        <v>8</v>
      </c>
      <c r="F36" s="274"/>
      <c r="G36" s="437"/>
      <c r="H36" s="271"/>
      <c r="I36" s="438"/>
      <c r="J36" s="439"/>
      <c r="K36" s="438"/>
      <c r="L36" s="315"/>
      <c r="M36" s="315"/>
      <c r="N36" s="315"/>
      <c r="O36" s="315"/>
      <c r="P36" s="315"/>
      <c r="Q36" s="315"/>
    </row>
    <row r="37" spans="1:208" s="94" customFormat="1" ht="22.5" x14ac:dyDescent="0.25">
      <c r="A37" s="57">
        <f>IF(COUNTBLANK(B37)=1," ",COUNTA($B$12:B37))</f>
        <v>19</v>
      </c>
      <c r="B37" s="9" t="s">
        <v>14</v>
      </c>
      <c r="C37" s="95" t="s">
        <v>358</v>
      </c>
      <c r="D37" s="743" t="s">
        <v>17</v>
      </c>
      <c r="E37" s="53">
        <v>11</v>
      </c>
      <c r="F37" s="274"/>
      <c r="G37" s="437"/>
      <c r="H37" s="271"/>
      <c r="I37" s="438"/>
      <c r="J37" s="439"/>
      <c r="K37" s="438"/>
      <c r="L37" s="315"/>
      <c r="M37" s="315"/>
      <c r="N37" s="315"/>
      <c r="O37" s="315"/>
      <c r="P37" s="315"/>
      <c r="Q37" s="315"/>
    </row>
    <row r="38" spans="1:208" s="2" customFormat="1" ht="22.5" x14ac:dyDescent="0.25">
      <c r="A38" s="57">
        <f>IF(COUNTBLANK(B38)=1," ",COUNTA($B$12:B38))</f>
        <v>20</v>
      </c>
      <c r="B38" s="9" t="s">
        <v>14</v>
      </c>
      <c r="C38" s="95" t="s">
        <v>359</v>
      </c>
      <c r="D38" s="743" t="s">
        <v>17</v>
      </c>
      <c r="E38" s="53">
        <v>10</v>
      </c>
      <c r="F38" s="274"/>
      <c r="G38" s="437"/>
      <c r="H38" s="271"/>
      <c r="I38" s="438"/>
      <c r="J38" s="439"/>
      <c r="K38" s="438"/>
      <c r="L38" s="315"/>
      <c r="M38" s="315"/>
      <c r="N38" s="315"/>
      <c r="O38" s="315"/>
      <c r="P38" s="315"/>
      <c r="Q38" s="315"/>
    </row>
    <row r="39" spans="1:208" s="96" customFormat="1" ht="22.5" x14ac:dyDescent="0.25">
      <c r="A39" s="57">
        <f>IF(COUNTBLANK(B39)=1," ",COUNTA($B$12:B39))</f>
        <v>21</v>
      </c>
      <c r="B39" s="9" t="s">
        <v>14</v>
      </c>
      <c r="C39" s="54" t="s">
        <v>361</v>
      </c>
      <c r="D39" s="743" t="s">
        <v>17</v>
      </c>
      <c r="E39" s="53">
        <v>10</v>
      </c>
      <c r="F39" s="274"/>
      <c r="G39" s="60"/>
      <c r="H39" s="271"/>
      <c r="I39" s="60"/>
      <c r="J39" s="60"/>
      <c r="K39" s="60"/>
      <c r="L39" s="315"/>
      <c r="M39" s="315"/>
      <c r="N39" s="315"/>
      <c r="O39" s="315"/>
      <c r="P39" s="315"/>
      <c r="Q39" s="315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262"/>
      <c r="BY39" s="262"/>
      <c r="BZ39" s="262"/>
      <c r="CA39" s="262"/>
      <c r="CB39" s="262"/>
      <c r="CC39" s="262"/>
      <c r="CD39" s="262"/>
      <c r="CE39" s="262"/>
      <c r="CF39" s="262"/>
      <c r="CG39" s="262"/>
      <c r="CH39" s="262"/>
      <c r="CI39" s="262"/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62"/>
      <c r="DE39" s="262"/>
      <c r="DF39" s="262"/>
      <c r="DG39" s="262"/>
      <c r="DH39" s="262"/>
      <c r="DI39" s="262"/>
      <c r="DJ39" s="262"/>
      <c r="DK39" s="262"/>
      <c r="DL39" s="262"/>
      <c r="DM39" s="262"/>
      <c r="DN39" s="262"/>
      <c r="DO39" s="262"/>
      <c r="DP39" s="262"/>
      <c r="DQ39" s="262"/>
      <c r="DR39" s="262"/>
      <c r="DS39" s="262"/>
      <c r="DT39" s="262"/>
      <c r="DU39" s="262"/>
      <c r="DV39" s="262"/>
      <c r="DW39" s="262"/>
      <c r="DX39" s="262"/>
      <c r="DY39" s="262"/>
      <c r="DZ39" s="262"/>
      <c r="EA39" s="262"/>
      <c r="EB39" s="262"/>
      <c r="EC39" s="262"/>
      <c r="ED39" s="262"/>
      <c r="EE39" s="262"/>
      <c r="EF39" s="262"/>
      <c r="EG39" s="262"/>
      <c r="EH39" s="262"/>
      <c r="EI39" s="262"/>
      <c r="EJ39" s="262"/>
      <c r="EK39" s="262"/>
      <c r="EL39" s="262"/>
      <c r="EM39" s="262"/>
      <c r="EN39" s="262"/>
      <c r="EO39" s="262"/>
      <c r="EP39" s="262"/>
      <c r="EQ39" s="262"/>
      <c r="ER39" s="262"/>
      <c r="ES39" s="262"/>
      <c r="ET39" s="262"/>
      <c r="EU39" s="262"/>
      <c r="EV39" s="262"/>
      <c r="EW39" s="262"/>
      <c r="EX39" s="262"/>
      <c r="EY39" s="262"/>
      <c r="EZ39" s="262"/>
      <c r="FA39" s="262"/>
      <c r="FB39" s="262"/>
      <c r="FC39" s="262"/>
      <c r="FD39" s="262"/>
      <c r="FE39" s="262"/>
      <c r="FF39" s="262"/>
      <c r="FG39" s="262"/>
      <c r="FH39" s="262"/>
      <c r="FI39" s="262"/>
      <c r="FJ39" s="262"/>
      <c r="FK39" s="262"/>
      <c r="FL39" s="262"/>
      <c r="FM39" s="262"/>
      <c r="FN39" s="262"/>
      <c r="FO39" s="262"/>
      <c r="FP39" s="262"/>
      <c r="FQ39" s="262"/>
      <c r="FR39" s="262"/>
      <c r="FS39" s="262"/>
      <c r="FT39" s="262"/>
      <c r="FU39" s="262"/>
      <c r="FV39" s="262"/>
      <c r="FW39" s="262"/>
      <c r="FX39" s="262"/>
      <c r="FY39" s="262"/>
      <c r="FZ39" s="262"/>
      <c r="GA39" s="262"/>
      <c r="GB39" s="262"/>
      <c r="GC39" s="262"/>
      <c r="GD39" s="262"/>
      <c r="GE39" s="262"/>
      <c r="GF39" s="262"/>
      <c r="GG39" s="262"/>
      <c r="GH39" s="262"/>
      <c r="GI39" s="262"/>
      <c r="GJ39" s="262"/>
      <c r="GK39" s="262"/>
      <c r="GL39" s="262"/>
      <c r="GM39" s="262"/>
      <c r="GN39" s="262"/>
      <c r="GO39" s="262"/>
      <c r="GP39" s="262"/>
      <c r="GQ39" s="262"/>
      <c r="GR39" s="262"/>
      <c r="GS39" s="262"/>
      <c r="GT39" s="262"/>
      <c r="GU39" s="262"/>
      <c r="GV39" s="262"/>
      <c r="GW39" s="262"/>
      <c r="GX39" s="262"/>
      <c r="GY39" s="262"/>
      <c r="GZ39" s="262"/>
    </row>
    <row r="40" spans="1:208" s="96" customFormat="1" ht="22.5" x14ac:dyDescent="0.25">
      <c r="A40" s="57" t="str">
        <f>IF(COUNTBLANK(B40)=1," ",COUNTA($B$12:B40))</f>
        <v xml:space="preserve"> </v>
      </c>
      <c r="B40" s="286"/>
      <c r="C40" s="452" t="s">
        <v>898</v>
      </c>
      <c r="D40" s="743" t="s">
        <v>23</v>
      </c>
      <c r="E40" s="34">
        <f>ROUNDUP(E39*F40,2)</f>
        <v>17</v>
      </c>
      <c r="F40" s="274">
        <v>1.7</v>
      </c>
      <c r="G40" s="274"/>
      <c r="H40" s="271"/>
      <c r="I40" s="274"/>
      <c r="J40" s="274"/>
      <c r="K40" s="453"/>
      <c r="L40" s="315"/>
      <c r="M40" s="315"/>
      <c r="N40" s="315"/>
      <c r="O40" s="315"/>
      <c r="P40" s="315"/>
      <c r="Q40" s="315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262"/>
      <c r="DH40" s="262"/>
      <c r="DI40" s="262"/>
      <c r="DJ40" s="262"/>
      <c r="DK40" s="262"/>
      <c r="DL40" s="262"/>
      <c r="DM40" s="262"/>
      <c r="DN40" s="262"/>
      <c r="DO40" s="262"/>
      <c r="DP40" s="262"/>
      <c r="DQ40" s="262"/>
      <c r="DR40" s="262"/>
      <c r="DS40" s="262"/>
      <c r="DT40" s="262"/>
      <c r="DU40" s="262"/>
      <c r="DV40" s="262"/>
      <c r="DW40" s="262"/>
      <c r="DX40" s="262"/>
      <c r="DY40" s="262"/>
      <c r="DZ40" s="262"/>
      <c r="EA40" s="262"/>
      <c r="EB40" s="262"/>
      <c r="EC40" s="262"/>
      <c r="ED40" s="262"/>
      <c r="EE40" s="262"/>
      <c r="EF40" s="262"/>
      <c r="EG40" s="262"/>
      <c r="EH40" s="262"/>
      <c r="EI40" s="262"/>
      <c r="EJ40" s="262"/>
      <c r="EK40" s="262"/>
      <c r="EL40" s="262"/>
      <c r="EM40" s="262"/>
      <c r="EN40" s="262"/>
      <c r="EO40" s="262"/>
      <c r="EP40" s="262"/>
      <c r="EQ40" s="262"/>
      <c r="ER40" s="262"/>
      <c r="ES40" s="262"/>
      <c r="ET40" s="262"/>
      <c r="EU40" s="262"/>
      <c r="EV40" s="262"/>
      <c r="EW40" s="262"/>
      <c r="EX40" s="262"/>
      <c r="EY40" s="262"/>
      <c r="EZ40" s="262"/>
      <c r="FA40" s="262"/>
      <c r="FB40" s="262"/>
      <c r="FC40" s="262"/>
      <c r="FD40" s="262"/>
      <c r="FE40" s="262"/>
      <c r="FF40" s="262"/>
      <c r="FG40" s="262"/>
      <c r="FH40" s="262"/>
      <c r="FI40" s="262"/>
      <c r="FJ40" s="262"/>
      <c r="FK40" s="262"/>
      <c r="FL40" s="262"/>
      <c r="FM40" s="262"/>
      <c r="FN40" s="262"/>
      <c r="FO40" s="262"/>
      <c r="FP40" s="262"/>
      <c r="FQ40" s="262"/>
      <c r="FR40" s="262"/>
      <c r="FS40" s="262"/>
      <c r="FT40" s="262"/>
      <c r="FU40" s="262"/>
      <c r="FV40" s="262"/>
      <c r="FW40" s="262"/>
      <c r="FX40" s="262"/>
      <c r="FY40" s="262"/>
      <c r="FZ40" s="262"/>
      <c r="GA40" s="262"/>
      <c r="GB40" s="262"/>
      <c r="GC40" s="262"/>
      <c r="GD40" s="262"/>
      <c r="GE40" s="262"/>
      <c r="GF40" s="262"/>
      <c r="GG40" s="262"/>
      <c r="GH40" s="262"/>
      <c r="GI40" s="262"/>
      <c r="GJ40" s="262"/>
      <c r="GK40" s="262"/>
      <c r="GL40" s="262"/>
      <c r="GM40" s="262"/>
      <c r="GN40" s="262"/>
      <c r="GO40" s="262"/>
      <c r="GP40" s="262"/>
      <c r="GQ40" s="262"/>
      <c r="GR40" s="262"/>
      <c r="GS40" s="262"/>
      <c r="GT40" s="262"/>
      <c r="GU40" s="262"/>
      <c r="GV40" s="262"/>
      <c r="GW40" s="262"/>
      <c r="GX40" s="262"/>
      <c r="GY40" s="262"/>
      <c r="GZ40" s="262"/>
    </row>
    <row r="41" spans="1:208" s="96" customFormat="1" x14ac:dyDescent="0.25">
      <c r="A41" s="57">
        <f>IF(COUNTBLANK(B41)=1," ",COUNTA($B$12:B41))</f>
        <v>22</v>
      </c>
      <c r="B41" s="9" t="s">
        <v>14</v>
      </c>
      <c r="C41" s="54" t="s">
        <v>362</v>
      </c>
      <c r="D41" s="743" t="s">
        <v>17</v>
      </c>
      <c r="E41" s="53">
        <v>10</v>
      </c>
      <c r="F41" s="274"/>
      <c r="G41" s="60"/>
      <c r="H41" s="271"/>
      <c r="I41" s="60"/>
      <c r="J41" s="60"/>
      <c r="K41" s="60"/>
      <c r="L41" s="315"/>
      <c r="M41" s="315"/>
      <c r="N41" s="315"/>
      <c r="O41" s="315"/>
      <c r="P41" s="315"/>
      <c r="Q41" s="315"/>
    </row>
    <row r="42" spans="1:208" s="96" customFormat="1" ht="22.5" x14ac:dyDescent="0.25">
      <c r="A42" s="57">
        <f>IF(COUNTBLANK(B42)=1," ",COUNTA($B$12:B42))</f>
        <v>23</v>
      </c>
      <c r="B42" s="9" t="s">
        <v>14</v>
      </c>
      <c r="C42" s="54" t="s">
        <v>363</v>
      </c>
      <c r="D42" s="743" t="s">
        <v>17</v>
      </c>
      <c r="E42" s="53">
        <v>10</v>
      </c>
      <c r="F42" s="743"/>
      <c r="G42" s="60"/>
      <c r="H42" s="271"/>
      <c r="I42" s="60"/>
      <c r="J42" s="60"/>
      <c r="K42" s="60"/>
      <c r="L42" s="315"/>
      <c r="M42" s="315"/>
      <c r="N42" s="315"/>
      <c r="O42" s="315"/>
      <c r="P42" s="315"/>
      <c r="Q42" s="315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</row>
    <row r="43" spans="1:208" s="96" customFormat="1" ht="22.5" x14ac:dyDescent="0.25">
      <c r="A43" s="57" t="str">
        <f>IF(COUNTBLANK(B43)=1," ",COUNTA($B$12:B43))</f>
        <v xml:space="preserve"> </v>
      </c>
      <c r="B43" s="286"/>
      <c r="C43" s="452" t="s">
        <v>899</v>
      </c>
      <c r="D43" s="743" t="s">
        <v>23</v>
      </c>
      <c r="E43" s="34">
        <f>ROUNDUP(E42*F43,2)</f>
        <v>20</v>
      </c>
      <c r="F43" s="743">
        <v>2</v>
      </c>
      <c r="G43" s="274"/>
      <c r="H43" s="271"/>
      <c r="I43" s="274"/>
      <c r="J43" s="274"/>
      <c r="K43" s="453"/>
      <c r="L43" s="315"/>
      <c r="M43" s="315"/>
      <c r="N43" s="315"/>
      <c r="O43" s="315"/>
      <c r="P43" s="315"/>
      <c r="Q43" s="315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3"/>
      <c r="DE43" s="253"/>
      <c r="DF43" s="253"/>
      <c r="DG43" s="253"/>
      <c r="DH43" s="253"/>
      <c r="DI43" s="253"/>
      <c r="DJ43" s="253"/>
      <c r="DK43" s="253"/>
      <c r="DL43" s="253"/>
      <c r="DM43" s="253"/>
      <c r="DN43" s="253"/>
      <c r="DO43" s="253"/>
      <c r="DP43" s="253"/>
      <c r="DQ43" s="253"/>
      <c r="DR43" s="253"/>
      <c r="DS43" s="253"/>
      <c r="DT43" s="253"/>
      <c r="DU43" s="253"/>
      <c r="DV43" s="253"/>
      <c r="DW43" s="253"/>
      <c r="DX43" s="253"/>
      <c r="DY43" s="253"/>
      <c r="DZ43" s="253"/>
      <c r="EA43" s="253"/>
      <c r="EB43" s="253"/>
      <c r="EC43" s="253"/>
      <c r="ED43" s="253"/>
      <c r="EE43" s="253"/>
      <c r="EF43" s="253"/>
      <c r="EG43" s="253"/>
      <c r="EH43" s="253"/>
      <c r="EI43" s="253"/>
      <c r="EJ43" s="253"/>
      <c r="EK43" s="253"/>
      <c r="EL43" s="253"/>
      <c r="EM43" s="253"/>
      <c r="EN43" s="253"/>
      <c r="EO43" s="253"/>
      <c r="EP43" s="253"/>
      <c r="EQ43" s="253"/>
      <c r="ER43" s="253"/>
      <c r="ES43" s="253"/>
      <c r="ET43" s="253"/>
      <c r="EU43" s="253"/>
      <c r="EV43" s="253"/>
      <c r="EW43" s="253"/>
      <c r="EX43" s="253"/>
      <c r="EY43" s="253"/>
      <c r="EZ43" s="253"/>
      <c r="FA43" s="253"/>
      <c r="FB43" s="253"/>
      <c r="FC43" s="253"/>
      <c r="FD43" s="253"/>
      <c r="FE43" s="253"/>
      <c r="FF43" s="253"/>
      <c r="FG43" s="253"/>
      <c r="FH43" s="253"/>
      <c r="FI43" s="253"/>
      <c r="FJ43" s="253"/>
      <c r="FK43" s="253"/>
      <c r="FL43" s="253"/>
      <c r="FM43" s="253"/>
      <c r="FN43" s="253"/>
      <c r="FO43" s="253"/>
      <c r="FP43" s="253"/>
      <c r="FQ43" s="253"/>
      <c r="FR43" s="253"/>
      <c r="FS43" s="253"/>
      <c r="FT43" s="253"/>
      <c r="FU43" s="253"/>
      <c r="FV43" s="253"/>
      <c r="FW43" s="253"/>
      <c r="FX43" s="253"/>
      <c r="FY43" s="253"/>
      <c r="FZ43" s="253"/>
      <c r="GA43" s="253"/>
      <c r="GB43" s="253"/>
      <c r="GC43" s="253"/>
      <c r="GD43" s="253"/>
      <c r="GE43" s="253"/>
      <c r="GF43" s="253"/>
      <c r="GG43" s="253"/>
      <c r="GH43" s="253"/>
      <c r="GI43" s="253"/>
      <c r="GJ43" s="253"/>
      <c r="GK43" s="253"/>
      <c r="GL43" s="253"/>
      <c r="GM43" s="253"/>
      <c r="GN43" s="253"/>
      <c r="GO43" s="253"/>
      <c r="GP43" s="253"/>
      <c r="GQ43" s="253"/>
      <c r="GR43" s="253"/>
      <c r="GS43" s="253"/>
      <c r="GT43" s="253"/>
      <c r="GU43" s="253"/>
      <c r="GV43" s="253"/>
      <c r="GW43" s="253"/>
      <c r="GX43" s="253"/>
      <c r="GY43" s="253"/>
      <c r="GZ43" s="253"/>
    </row>
    <row r="44" spans="1:208" s="96" customFormat="1" x14ac:dyDescent="0.25">
      <c r="A44" s="57">
        <f>IF(COUNTBLANK(B44)=1," ",COUNTA($B$12:B44))</f>
        <v>24</v>
      </c>
      <c r="B44" s="9" t="s">
        <v>14</v>
      </c>
      <c r="C44" s="54" t="s">
        <v>364</v>
      </c>
      <c r="D44" s="743" t="s">
        <v>17</v>
      </c>
      <c r="E44" s="53">
        <v>10</v>
      </c>
      <c r="F44" s="274"/>
      <c r="G44" s="60"/>
      <c r="H44" s="271"/>
      <c r="I44" s="60"/>
      <c r="J44" s="60"/>
      <c r="K44" s="60"/>
      <c r="L44" s="315"/>
      <c r="M44" s="315"/>
      <c r="N44" s="315"/>
      <c r="O44" s="315"/>
      <c r="P44" s="315"/>
      <c r="Q44" s="315"/>
    </row>
    <row r="45" spans="1:208" s="96" customFormat="1" ht="22.5" x14ac:dyDescent="0.25">
      <c r="A45" s="57">
        <f>IF(COUNTBLANK(B45)=1," ",COUNTA($B$12:B45))</f>
        <v>25</v>
      </c>
      <c r="B45" s="9" t="s">
        <v>14</v>
      </c>
      <c r="C45" s="54" t="s">
        <v>365</v>
      </c>
      <c r="D45" s="743" t="s">
        <v>17</v>
      </c>
      <c r="E45" s="53">
        <v>10</v>
      </c>
      <c r="F45" s="274"/>
      <c r="G45" s="60"/>
      <c r="H45" s="271"/>
      <c r="I45" s="60"/>
      <c r="J45" s="60"/>
      <c r="K45" s="60"/>
      <c r="L45" s="315"/>
      <c r="M45" s="315"/>
      <c r="N45" s="315"/>
      <c r="O45" s="315"/>
      <c r="P45" s="315"/>
      <c r="Q45" s="315"/>
    </row>
    <row r="46" spans="1:208" s="3" customFormat="1" ht="22.5" x14ac:dyDescent="0.25">
      <c r="A46" s="57">
        <f>IF(COUNTBLANK(B46)=1," ",COUNTA($B$12:B46))</f>
        <v>26</v>
      </c>
      <c r="B46" s="9" t="s">
        <v>14</v>
      </c>
      <c r="C46" s="95" t="s">
        <v>366</v>
      </c>
      <c r="D46" s="743" t="s">
        <v>16</v>
      </c>
      <c r="E46" s="53">
        <v>6.4</v>
      </c>
      <c r="F46" s="60"/>
      <c r="G46" s="60"/>
      <c r="H46" s="271"/>
      <c r="I46" s="15"/>
      <c r="J46" s="440"/>
      <c r="K46" s="60"/>
      <c r="L46" s="315"/>
      <c r="M46" s="315"/>
      <c r="N46" s="315"/>
      <c r="O46" s="315"/>
      <c r="P46" s="315"/>
      <c r="Q46" s="315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</row>
    <row r="47" spans="1:208" s="3" customFormat="1" ht="22.5" x14ac:dyDescent="0.25">
      <c r="A47" s="57">
        <f>IF(COUNTBLANK(B47)=1," ",COUNTA($B$12:B47))</f>
        <v>27</v>
      </c>
      <c r="B47" s="9" t="s">
        <v>14</v>
      </c>
      <c r="C47" s="95" t="s">
        <v>367</v>
      </c>
      <c r="D47" s="743" t="s">
        <v>17</v>
      </c>
      <c r="E47" s="53">
        <v>5.5</v>
      </c>
      <c r="F47" s="60"/>
      <c r="G47" s="60"/>
      <c r="H47" s="271"/>
      <c r="I47" s="15"/>
      <c r="J47" s="440"/>
      <c r="K47" s="60"/>
      <c r="L47" s="315"/>
      <c r="M47" s="315"/>
      <c r="N47" s="315"/>
      <c r="O47" s="315"/>
      <c r="P47" s="315"/>
      <c r="Q47" s="315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</row>
    <row r="48" spans="1:208" s="3" customFormat="1" ht="22.5" x14ac:dyDescent="0.25">
      <c r="A48" s="57">
        <f>IF(COUNTBLANK(B48)=1," ",COUNTA($B$12:B48))</f>
        <v>28</v>
      </c>
      <c r="B48" s="9" t="s">
        <v>14</v>
      </c>
      <c r="C48" s="95" t="s">
        <v>368</v>
      </c>
      <c r="D48" s="743" t="s">
        <v>17</v>
      </c>
      <c r="E48" s="10">
        <v>2.4</v>
      </c>
      <c r="F48" s="60"/>
      <c r="G48" s="136"/>
      <c r="H48" s="271"/>
      <c r="I48" s="10"/>
      <c r="J48" s="136"/>
      <c r="K48" s="136"/>
      <c r="L48" s="315"/>
      <c r="M48" s="315"/>
      <c r="N48" s="315"/>
      <c r="O48" s="315"/>
      <c r="P48" s="315"/>
      <c r="Q48" s="31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</row>
    <row r="49" spans="1:208" s="96" customFormat="1" ht="22.5" x14ac:dyDescent="0.25">
      <c r="A49" s="57">
        <f>IF(COUNTBLANK(B49)=1," ",COUNTA($B$12:B49))</f>
        <v>29</v>
      </c>
      <c r="B49" s="9" t="s">
        <v>14</v>
      </c>
      <c r="C49" s="54" t="s">
        <v>900</v>
      </c>
      <c r="D49" s="743" t="s">
        <v>17</v>
      </c>
      <c r="E49" s="10">
        <v>1.92</v>
      </c>
      <c r="F49" s="445"/>
      <c r="G49" s="136"/>
      <c r="H49" s="271"/>
      <c r="I49" s="136"/>
      <c r="J49" s="58"/>
      <c r="K49" s="58"/>
      <c r="L49" s="315"/>
      <c r="M49" s="315"/>
      <c r="N49" s="315"/>
      <c r="O49" s="315"/>
      <c r="P49" s="315"/>
      <c r="Q49" s="315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</row>
    <row r="50" spans="1:208" s="96" customFormat="1" x14ac:dyDescent="0.25">
      <c r="A50" s="57" t="str">
        <f>IF(COUNTBLANK(B50)=1," ",COUNTA($B$12:B50))</f>
        <v xml:space="preserve"> </v>
      </c>
      <c r="B50" s="377"/>
      <c r="C50" s="14" t="s">
        <v>901</v>
      </c>
      <c r="D50" s="743" t="s">
        <v>17</v>
      </c>
      <c r="E50" s="673">
        <v>3</v>
      </c>
      <c r="F50" s="60"/>
      <c r="G50" s="136"/>
      <c r="H50" s="271"/>
      <c r="I50" s="136"/>
      <c r="J50" s="310"/>
      <c r="K50" s="136"/>
      <c r="L50" s="315"/>
      <c r="M50" s="315"/>
      <c r="N50" s="315"/>
      <c r="O50" s="315"/>
      <c r="P50" s="315"/>
      <c r="Q50" s="31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</row>
    <row r="51" spans="1:208" s="96" customFormat="1" ht="22.5" x14ac:dyDescent="0.25">
      <c r="A51" s="57">
        <f>IF(COUNTBLANK(B51)=1," ",COUNTA($B$12:B51))</f>
        <v>30</v>
      </c>
      <c r="B51" s="9" t="s">
        <v>14</v>
      </c>
      <c r="C51" s="95" t="s">
        <v>369</v>
      </c>
      <c r="D51" s="743" t="s">
        <v>17</v>
      </c>
      <c r="E51" s="53">
        <v>1.6</v>
      </c>
      <c r="F51" s="274"/>
      <c r="G51" s="136"/>
      <c r="H51" s="271"/>
      <c r="I51" s="10"/>
      <c r="J51" s="136"/>
      <c r="K51" s="136"/>
      <c r="L51" s="315"/>
      <c r="M51" s="315"/>
      <c r="N51" s="315"/>
      <c r="O51" s="315"/>
      <c r="P51" s="315"/>
      <c r="Q51" s="315"/>
    </row>
    <row r="52" spans="1:208" s="96" customFormat="1" x14ac:dyDescent="0.25">
      <c r="A52" s="57">
        <f>IF(COUNTBLANK(B52)=1," ",COUNTA($B$12:B52))</f>
        <v>31</v>
      </c>
      <c r="B52" s="9" t="s">
        <v>14</v>
      </c>
      <c r="C52" s="14" t="s">
        <v>440</v>
      </c>
      <c r="D52" s="743" t="s">
        <v>17</v>
      </c>
      <c r="E52" s="53">
        <v>12</v>
      </c>
      <c r="F52" s="445"/>
      <c r="G52" s="136"/>
      <c r="H52" s="271"/>
      <c r="I52" s="136"/>
      <c r="J52" s="58"/>
      <c r="K52" s="58"/>
      <c r="L52" s="315"/>
      <c r="M52" s="315"/>
      <c r="N52" s="315"/>
      <c r="O52" s="315"/>
      <c r="P52" s="315"/>
      <c r="Q52" s="315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  <c r="EO52" s="94"/>
      <c r="EP52" s="94"/>
      <c r="EQ52" s="94"/>
      <c r="ER52" s="94"/>
      <c r="ES52" s="94"/>
      <c r="ET52" s="94"/>
      <c r="EU52" s="94"/>
      <c r="EV52" s="94"/>
      <c r="EW52" s="94"/>
      <c r="EX52" s="94"/>
      <c r="EY52" s="94"/>
      <c r="EZ52" s="94"/>
      <c r="FA52" s="94"/>
      <c r="FB52" s="94"/>
      <c r="FC52" s="94"/>
      <c r="FD52" s="94"/>
      <c r="FE52" s="94"/>
      <c r="FF52" s="94"/>
      <c r="FG52" s="94"/>
      <c r="FH52" s="94"/>
      <c r="FI52" s="94"/>
      <c r="FJ52" s="94"/>
      <c r="FK52" s="94"/>
      <c r="FL52" s="94"/>
      <c r="FM52" s="94"/>
      <c r="FN52" s="94"/>
      <c r="FO52" s="94"/>
      <c r="FP52" s="94"/>
      <c r="FQ52" s="94"/>
      <c r="FR52" s="94"/>
      <c r="FS52" s="94"/>
      <c r="FT52" s="94"/>
      <c r="FU52" s="94"/>
      <c r="FV52" s="94"/>
      <c r="FW52" s="94"/>
      <c r="FX52" s="94"/>
      <c r="FY52" s="94"/>
      <c r="FZ52" s="94"/>
      <c r="GA52" s="94"/>
      <c r="GB52" s="94"/>
      <c r="GC52" s="94"/>
      <c r="GD52" s="94"/>
      <c r="GE52" s="94"/>
      <c r="GF52" s="94"/>
      <c r="GG52" s="94"/>
      <c r="GH52" s="94"/>
      <c r="GI52" s="94"/>
      <c r="GJ52" s="94"/>
      <c r="GK52" s="94"/>
      <c r="GL52" s="94"/>
      <c r="GM52" s="94"/>
      <c r="GN52" s="94"/>
      <c r="GO52" s="94"/>
      <c r="GP52" s="94"/>
      <c r="GQ52" s="94"/>
      <c r="GR52" s="94"/>
      <c r="GS52" s="94"/>
      <c r="GT52" s="94"/>
      <c r="GU52" s="94"/>
      <c r="GV52" s="94"/>
      <c r="GW52" s="94"/>
      <c r="GX52" s="94"/>
      <c r="GY52" s="94"/>
      <c r="GZ52" s="94"/>
    </row>
    <row r="53" spans="1:208" s="96" customFormat="1" ht="22.5" x14ac:dyDescent="0.25">
      <c r="A53" s="57" t="str">
        <f>IF(COUNTBLANK(B53)=1," ",COUNTA($B$12:B53))</f>
        <v xml:space="preserve"> </v>
      </c>
      <c r="B53" s="377"/>
      <c r="C53" s="14" t="s">
        <v>885</v>
      </c>
      <c r="D53" s="743" t="s">
        <v>17</v>
      </c>
      <c r="E53" s="673">
        <f>1.55*12</f>
        <v>18.600000000000001</v>
      </c>
      <c r="F53" s="60"/>
      <c r="G53" s="136"/>
      <c r="H53" s="271"/>
      <c r="I53" s="136"/>
      <c r="J53" s="310"/>
      <c r="K53" s="136"/>
      <c r="L53" s="315"/>
      <c r="M53" s="315"/>
      <c r="N53" s="315"/>
      <c r="O53" s="315"/>
      <c r="P53" s="315"/>
      <c r="Q53" s="31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</row>
    <row r="54" spans="1:208" s="96" customFormat="1" ht="22.5" x14ac:dyDescent="0.25">
      <c r="A54" s="57" t="str">
        <f>IF(COUNTBLANK(B54)=1," ",COUNTA($B$12:B54))</f>
        <v xml:space="preserve"> </v>
      </c>
      <c r="B54" s="377"/>
      <c r="C54" s="14" t="s">
        <v>886</v>
      </c>
      <c r="D54" s="743" t="s">
        <v>17</v>
      </c>
      <c r="E54" s="673">
        <f>1.55*12</f>
        <v>18.600000000000001</v>
      </c>
      <c r="F54" s="60"/>
      <c r="G54" s="136"/>
      <c r="H54" s="271"/>
      <c r="I54" s="136"/>
      <c r="J54" s="310"/>
      <c r="K54" s="136"/>
      <c r="L54" s="315"/>
      <c r="M54" s="315"/>
      <c r="N54" s="315"/>
      <c r="O54" s="315"/>
      <c r="P54" s="315"/>
      <c r="Q54" s="31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</row>
    <row r="55" spans="1:208" s="96" customFormat="1" x14ac:dyDescent="0.25">
      <c r="A55" s="57" t="str">
        <f>IF(COUNTBLANK(B55)=1," ",COUNTA($B$12:B55))</f>
        <v xml:space="preserve"> </v>
      </c>
      <c r="B55" s="377"/>
      <c r="C55" s="14" t="s">
        <v>438</v>
      </c>
      <c r="D55" s="743" t="s">
        <v>439</v>
      </c>
      <c r="E55" s="53">
        <v>1</v>
      </c>
      <c r="F55" s="60"/>
      <c r="G55" s="136"/>
      <c r="H55" s="271"/>
      <c r="I55" s="136"/>
      <c r="J55" s="310"/>
      <c r="K55" s="136"/>
      <c r="L55" s="315"/>
      <c r="M55" s="315"/>
      <c r="N55" s="315"/>
      <c r="O55" s="315"/>
      <c r="P55" s="315"/>
      <c r="Q55" s="31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</row>
    <row r="56" spans="1:208" s="3" customFormat="1" ht="22.5" x14ac:dyDescent="0.25">
      <c r="A56" s="57">
        <f>IF(COUNTBLANK(B56)=1," ",COUNTA($B$12:B56))</f>
        <v>32</v>
      </c>
      <c r="B56" s="9" t="s">
        <v>14</v>
      </c>
      <c r="C56" s="675" t="s">
        <v>821</v>
      </c>
      <c r="D56" s="676" t="s">
        <v>16</v>
      </c>
      <c r="E56" s="673">
        <v>11.2</v>
      </c>
      <c r="F56" s="34"/>
      <c r="G56" s="136"/>
      <c r="H56" s="271"/>
      <c r="I56" s="10"/>
      <c r="J56" s="136"/>
      <c r="K56" s="136"/>
      <c r="L56" s="315"/>
      <c r="M56" s="315"/>
      <c r="N56" s="315"/>
      <c r="O56" s="315"/>
      <c r="P56" s="315"/>
      <c r="Q56" s="31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</row>
    <row r="57" spans="1:208" s="3" customFormat="1" ht="22.5" x14ac:dyDescent="0.25">
      <c r="A57" s="57" t="str">
        <f>IF(COUNTBLANK(B57)=1," ",COUNTA($B$12:B57))</f>
        <v xml:space="preserve"> </v>
      </c>
      <c r="B57" s="677"/>
      <c r="C57" s="675" t="s">
        <v>370</v>
      </c>
      <c r="D57" s="743" t="s">
        <v>16</v>
      </c>
      <c r="E57" s="673">
        <v>11.2</v>
      </c>
      <c r="F57" s="729"/>
      <c r="G57" s="61"/>
      <c r="H57" s="271"/>
      <c r="I57" s="60"/>
      <c r="J57" s="380"/>
      <c r="K57" s="61"/>
      <c r="L57" s="315"/>
      <c r="M57" s="315"/>
      <c r="N57" s="315"/>
      <c r="O57" s="315"/>
      <c r="P57" s="315"/>
      <c r="Q57" s="315"/>
    </row>
    <row r="58" spans="1:208" s="96" customFormat="1" ht="22.5" x14ac:dyDescent="0.25">
      <c r="A58" s="57">
        <f>IF(COUNTBLANK(B58)=1," ",COUNTA($B$12:B58))</f>
        <v>33</v>
      </c>
      <c r="B58" s="9" t="s">
        <v>14</v>
      </c>
      <c r="C58" s="54" t="s">
        <v>371</v>
      </c>
      <c r="D58" s="743" t="s">
        <v>16</v>
      </c>
      <c r="E58" s="53">
        <v>11.2</v>
      </c>
      <c r="F58" s="274"/>
      <c r="G58" s="136"/>
      <c r="H58" s="271"/>
      <c r="I58" s="10"/>
      <c r="J58" s="136"/>
      <c r="K58" s="136"/>
      <c r="L58" s="315"/>
      <c r="M58" s="315"/>
      <c r="N58" s="315"/>
      <c r="O58" s="315"/>
      <c r="P58" s="315"/>
      <c r="Q58" s="315"/>
    </row>
    <row r="59" spans="1:208" s="3" customFormat="1" x14ac:dyDescent="0.25">
      <c r="A59" s="57">
        <f>IF(COUNTBLANK(B59)=1," ",COUNTA($B$12:B59))</f>
        <v>34</v>
      </c>
      <c r="B59" s="9" t="s">
        <v>14</v>
      </c>
      <c r="C59" s="54" t="s">
        <v>372</v>
      </c>
      <c r="D59" s="743" t="s">
        <v>16</v>
      </c>
      <c r="E59" s="53">
        <v>6.4</v>
      </c>
      <c r="F59" s="443"/>
      <c r="G59" s="437"/>
      <c r="H59" s="271"/>
      <c r="I59" s="438"/>
      <c r="J59" s="439"/>
      <c r="K59" s="438"/>
      <c r="L59" s="315"/>
      <c r="M59" s="315"/>
      <c r="N59" s="315"/>
      <c r="O59" s="315"/>
      <c r="P59" s="315"/>
      <c r="Q59" s="315"/>
    </row>
    <row r="60" spans="1:208" s="3" customFormat="1" x14ac:dyDescent="0.25">
      <c r="A60" s="57" t="str">
        <f>IF(COUNTBLANK(B60)=1," ",COUNTA($B$12:B60))</f>
        <v xml:space="preserve"> </v>
      </c>
      <c r="B60" s="394"/>
      <c r="C60" s="736" t="s">
        <v>442</v>
      </c>
      <c r="D60" s="394" t="s">
        <v>16</v>
      </c>
      <c r="E60" s="442">
        <v>77</v>
      </c>
      <c r="F60" s="443"/>
      <c r="G60" s="437"/>
      <c r="H60" s="271"/>
      <c r="I60" s="438"/>
      <c r="J60" s="439"/>
      <c r="K60" s="438"/>
      <c r="L60" s="315"/>
      <c r="M60" s="315"/>
      <c r="N60" s="315"/>
      <c r="O60" s="315"/>
      <c r="P60" s="315"/>
      <c r="Q60" s="315"/>
    </row>
    <row r="61" spans="1:208" s="3" customFormat="1" x14ac:dyDescent="0.25">
      <c r="A61" s="57" t="str">
        <f>IF(COUNTBLANK(B61)=1," ",COUNTA($B$12:B61))</f>
        <v xml:space="preserve"> </v>
      </c>
      <c r="B61" s="394"/>
      <c r="C61" s="736" t="s">
        <v>443</v>
      </c>
      <c r="D61" s="394" t="s">
        <v>32</v>
      </c>
      <c r="E61" s="442">
        <v>70</v>
      </c>
      <c r="F61" s="443"/>
      <c r="G61" s="437"/>
      <c r="H61" s="271"/>
      <c r="I61" s="438"/>
      <c r="J61" s="439"/>
      <c r="K61" s="438"/>
      <c r="L61" s="315"/>
      <c r="M61" s="315"/>
      <c r="N61" s="315"/>
      <c r="O61" s="315"/>
      <c r="P61" s="315"/>
      <c r="Q61" s="315"/>
    </row>
    <row r="62" spans="1:208" s="3" customFormat="1" x14ac:dyDescent="0.25">
      <c r="A62" s="57" t="str">
        <f>IF(COUNTBLANK(B62)=1," ",COUNTA($B$12:B62))</f>
        <v xml:space="preserve"> </v>
      </c>
      <c r="B62" s="394"/>
      <c r="C62" s="736" t="s">
        <v>444</v>
      </c>
      <c r="D62" s="394" t="s">
        <v>32</v>
      </c>
      <c r="E62" s="442">
        <v>3.85</v>
      </c>
      <c r="F62" s="443"/>
      <c r="G62" s="437"/>
      <c r="H62" s="271"/>
      <c r="I62" s="438"/>
      <c r="J62" s="439"/>
      <c r="K62" s="438"/>
      <c r="L62" s="315"/>
      <c r="M62" s="315"/>
      <c r="N62" s="315"/>
      <c r="O62" s="315"/>
      <c r="P62" s="315"/>
      <c r="Q62" s="315"/>
    </row>
    <row r="63" spans="1:208" s="3" customFormat="1" x14ac:dyDescent="0.25">
      <c r="A63" s="57" t="str">
        <f>IF(COUNTBLANK(B63)=1," ",COUNTA($B$12:B63))</f>
        <v xml:space="preserve"> </v>
      </c>
      <c r="B63" s="394"/>
      <c r="C63" s="736" t="s">
        <v>445</v>
      </c>
      <c r="D63" s="394" t="s">
        <v>32</v>
      </c>
      <c r="E63" s="442">
        <v>140</v>
      </c>
      <c r="F63" s="443"/>
      <c r="G63" s="437"/>
      <c r="H63" s="271"/>
      <c r="I63" s="438"/>
      <c r="J63" s="439"/>
      <c r="K63" s="438"/>
      <c r="L63" s="315"/>
      <c r="M63" s="315"/>
      <c r="N63" s="315"/>
      <c r="O63" s="315"/>
      <c r="P63" s="315"/>
      <c r="Q63" s="315"/>
    </row>
    <row r="64" spans="1:208" s="3" customFormat="1" x14ac:dyDescent="0.25">
      <c r="A64" s="57" t="str">
        <f>IF(COUNTBLANK(B64)=1," ",COUNTA($B$12:B64))</f>
        <v xml:space="preserve"> </v>
      </c>
      <c r="B64" s="394"/>
      <c r="C64" s="736" t="s">
        <v>446</v>
      </c>
      <c r="D64" s="394" t="s">
        <v>32</v>
      </c>
      <c r="E64" s="442">
        <v>4.2</v>
      </c>
      <c r="F64" s="443"/>
      <c r="G64" s="437"/>
      <c r="H64" s="271"/>
      <c r="I64" s="438"/>
      <c r="J64" s="439"/>
      <c r="K64" s="438"/>
      <c r="L64" s="315"/>
      <c r="M64" s="315"/>
      <c r="N64" s="315"/>
      <c r="O64" s="315"/>
      <c r="P64" s="315"/>
      <c r="Q64" s="315"/>
    </row>
    <row r="65" spans="1:17" s="3" customFormat="1" x14ac:dyDescent="0.25">
      <c r="A65" s="57" t="str">
        <f>IF(COUNTBLANK(B65)=1," ",COUNTA($B$12:B65))</f>
        <v xml:space="preserve"> </v>
      </c>
      <c r="B65" s="394"/>
      <c r="C65" s="736" t="s">
        <v>447</v>
      </c>
      <c r="D65" s="394" t="s">
        <v>32</v>
      </c>
      <c r="E65" s="442">
        <v>207.137</v>
      </c>
      <c r="F65" s="443"/>
      <c r="G65" s="437"/>
      <c r="H65" s="271"/>
      <c r="I65" s="438"/>
      <c r="J65" s="439"/>
      <c r="K65" s="438"/>
      <c r="L65" s="315"/>
      <c r="M65" s="315"/>
      <c r="N65" s="315"/>
      <c r="O65" s="315"/>
      <c r="P65" s="315"/>
      <c r="Q65" s="315"/>
    </row>
    <row r="66" spans="1:17" s="3" customFormat="1" x14ac:dyDescent="0.25">
      <c r="A66" s="57">
        <f>IF(COUNTBLANK(B66)=1," ",COUNTA($B$12:B66))</f>
        <v>35</v>
      </c>
      <c r="B66" s="9" t="s">
        <v>14</v>
      </c>
      <c r="C66" s="54" t="s">
        <v>373</v>
      </c>
      <c r="D66" s="743" t="s">
        <v>16</v>
      </c>
      <c r="E66" s="53">
        <v>6</v>
      </c>
      <c r="F66" s="443"/>
      <c r="G66" s="437"/>
      <c r="H66" s="271"/>
      <c r="I66" s="438"/>
      <c r="J66" s="439"/>
      <c r="K66" s="438"/>
      <c r="L66" s="315"/>
      <c r="M66" s="315"/>
      <c r="N66" s="315"/>
      <c r="O66" s="315"/>
      <c r="P66" s="315"/>
      <c r="Q66" s="315"/>
    </row>
    <row r="67" spans="1:17" s="3" customFormat="1" x14ac:dyDescent="0.25">
      <c r="A67" s="57" t="str">
        <f>IF(COUNTBLANK(B67)=1," ",COUNTA($B$12:B67))</f>
        <v xml:space="preserve"> </v>
      </c>
      <c r="B67" s="394"/>
      <c r="C67" s="736" t="s">
        <v>448</v>
      </c>
      <c r="D67" s="394" t="s">
        <v>16</v>
      </c>
      <c r="E67" s="442">
        <v>73.5</v>
      </c>
      <c r="F67" s="443"/>
      <c r="G67" s="437"/>
      <c r="H67" s="271"/>
      <c r="I67" s="438"/>
      <c r="J67" s="439"/>
      <c r="K67" s="438"/>
      <c r="L67" s="315"/>
      <c r="M67" s="315"/>
      <c r="N67" s="315"/>
      <c r="O67" s="315"/>
      <c r="P67" s="315"/>
      <c r="Q67" s="315"/>
    </row>
    <row r="68" spans="1:17" s="3" customFormat="1" x14ac:dyDescent="0.25">
      <c r="A68" s="57" t="str">
        <f>IF(COUNTBLANK(B68)=1," ",COUNTA($B$12:B68))</f>
        <v xml:space="preserve"> </v>
      </c>
      <c r="B68" s="394"/>
      <c r="C68" s="736" t="s">
        <v>449</v>
      </c>
      <c r="D68" s="394" t="s">
        <v>32</v>
      </c>
      <c r="E68" s="442">
        <v>42.424200000000006</v>
      </c>
      <c r="F68" s="443"/>
      <c r="G68" s="437"/>
      <c r="H68" s="271"/>
      <c r="I68" s="438"/>
      <c r="J68" s="439"/>
      <c r="K68" s="438"/>
      <c r="L68" s="315"/>
      <c r="M68" s="315"/>
      <c r="N68" s="315"/>
      <c r="O68" s="315"/>
      <c r="P68" s="315"/>
      <c r="Q68" s="315"/>
    </row>
    <row r="69" spans="1:17" s="3" customFormat="1" x14ac:dyDescent="0.25">
      <c r="A69" s="57" t="str">
        <f>IF(COUNTBLANK(B69)=1," ",COUNTA($B$12:B69))</f>
        <v xml:space="preserve"> </v>
      </c>
      <c r="B69" s="394"/>
      <c r="C69" s="736" t="s">
        <v>450</v>
      </c>
      <c r="D69" s="394" t="s">
        <v>32</v>
      </c>
      <c r="E69" s="442">
        <v>23.8</v>
      </c>
      <c r="F69" s="443"/>
      <c r="G69" s="437"/>
      <c r="H69" s="271"/>
      <c r="I69" s="438"/>
      <c r="J69" s="439"/>
      <c r="K69" s="438"/>
      <c r="L69" s="315"/>
      <c r="M69" s="315"/>
      <c r="N69" s="315"/>
      <c r="O69" s="315"/>
      <c r="P69" s="315"/>
      <c r="Q69" s="315"/>
    </row>
    <row r="70" spans="1:17" s="3" customFormat="1" x14ac:dyDescent="0.25">
      <c r="A70" s="57" t="str">
        <f>IF(COUNTBLANK(B70)=1," ",COUNTA($B$12:B70))</f>
        <v xml:space="preserve"> </v>
      </c>
      <c r="B70" s="394"/>
      <c r="C70" s="736" t="s">
        <v>451</v>
      </c>
      <c r="D70" s="394" t="s">
        <v>32</v>
      </c>
      <c r="E70" s="442">
        <v>81.899999999999991</v>
      </c>
      <c r="F70" s="443"/>
      <c r="G70" s="437"/>
      <c r="H70" s="271"/>
      <c r="I70" s="438"/>
      <c r="J70" s="439"/>
      <c r="K70" s="438"/>
      <c r="L70" s="315"/>
      <c r="M70" s="315"/>
      <c r="N70" s="315"/>
      <c r="O70" s="315"/>
      <c r="P70" s="315"/>
      <c r="Q70" s="315"/>
    </row>
    <row r="71" spans="1:17" s="3" customFormat="1" x14ac:dyDescent="0.25">
      <c r="A71" s="57" t="str">
        <f>IF(COUNTBLANK(B71)=1," ",COUNTA($B$12:B71))</f>
        <v xml:space="preserve"> </v>
      </c>
      <c r="B71" s="213"/>
      <c r="C71" s="250"/>
      <c r="D71" s="19"/>
      <c r="E71" s="225"/>
      <c r="F71" s="17"/>
      <c r="G71" s="18"/>
      <c r="H71" s="18"/>
      <c r="I71" s="18"/>
      <c r="J71" s="18"/>
      <c r="K71" s="18"/>
      <c r="L71" s="20"/>
      <c r="M71" s="20"/>
      <c r="N71" s="20"/>
      <c r="O71" s="20"/>
      <c r="P71" s="20"/>
      <c r="Q71" s="20"/>
    </row>
    <row r="72" spans="1:17" s="67" customFormat="1" ht="22.5" x14ac:dyDescent="0.25">
      <c r="A72" s="398"/>
      <c r="B72" s="69"/>
      <c r="C72" s="217" t="s">
        <v>179</v>
      </c>
      <c r="D72" s="17"/>
      <c r="E72" s="162"/>
      <c r="F72" s="162"/>
      <c r="G72" s="17"/>
      <c r="H72" s="17"/>
      <c r="I72" s="17"/>
      <c r="J72" s="17"/>
      <c r="K72" s="17"/>
      <c r="L72" s="17"/>
      <c r="M72" s="20">
        <f>SUM(M13:M70)</f>
        <v>0</v>
      </c>
      <c r="N72" s="20">
        <f>SUM(N13:N70)</f>
        <v>0</v>
      </c>
      <c r="O72" s="20">
        <f>SUM(O13:O70)</f>
        <v>0</v>
      </c>
      <c r="P72" s="20">
        <f>SUM(P13:P70)</f>
        <v>0</v>
      </c>
      <c r="Q72" s="20">
        <f>SUM(Q13:Q70)</f>
        <v>0</v>
      </c>
    </row>
    <row r="73" spans="1:17" s="79" customFormat="1" x14ac:dyDescent="0.25">
      <c r="A73" s="398"/>
      <c r="B73" s="69"/>
      <c r="C73" s="71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</row>
    <row r="74" spans="1:17" s="79" customFormat="1" x14ac:dyDescent="0.25">
      <c r="A74" s="398"/>
      <c r="B74" s="140" t="str">
        <f>sas</f>
        <v>Sastādīja:</v>
      </c>
      <c r="C74" s="140"/>
      <c r="D74" s="94"/>
      <c r="E74" s="94"/>
      <c r="F74" s="94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7" s="79" customFormat="1" x14ac:dyDescent="0.25">
      <c r="A75" s="398"/>
      <c r="B75" s="140"/>
      <c r="C75" s="358" t="s">
        <v>145</v>
      </c>
      <c r="D75" s="140"/>
      <c r="E75" s="140"/>
      <c r="F75" s="94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</row>
    <row r="76" spans="1:17" s="72" customFormat="1" x14ac:dyDescent="0.25">
      <c r="A76" s="398"/>
      <c r="B76" s="161"/>
      <c r="C76" s="161"/>
      <c r="D76" s="140"/>
      <c r="E76" s="140"/>
      <c r="F76" s="94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</row>
    <row r="77" spans="1:17" s="72" customFormat="1" x14ac:dyDescent="0.25">
      <c r="A77" s="398"/>
      <c r="B77" s="140" t="str">
        <f>dat</f>
        <v>Tāme sastādīta 201__. gada __.____________</v>
      </c>
      <c r="C77" s="140"/>
      <c r="D77" s="140"/>
      <c r="E77" s="140"/>
      <c r="F77" s="94"/>
      <c r="G77" s="70"/>
      <c r="H77" s="70"/>
      <c r="I77" s="70"/>
      <c r="J77" s="70"/>
      <c r="K77" s="70"/>
      <c r="M77" s="70"/>
      <c r="N77" s="70"/>
      <c r="O77" s="70"/>
      <c r="P77" s="70"/>
      <c r="Q77" s="70"/>
    </row>
    <row r="78" spans="1:17" s="67" customFormat="1" x14ac:dyDescent="0.25">
      <c r="A78" s="398"/>
      <c r="B78" s="161"/>
      <c r="C78" s="161"/>
      <c r="D78" s="140"/>
      <c r="E78" s="140"/>
      <c r="F78" s="94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</row>
    <row r="79" spans="1:17" s="67" customFormat="1" x14ac:dyDescent="0.25">
      <c r="A79" s="148"/>
      <c r="B79" s="140" t="s">
        <v>147</v>
      </c>
      <c r="C79" s="140"/>
      <c r="D79" s="100"/>
      <c r="E79" s="100"/>
      <c r="F79" s="45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</row>
    <row r="80" spans="1:17" s="67" customFormat="1" x14ac:dyDescent="0.25">
      <c r="A80" s="398"/>
      <c r="B80" s="140"/>
      <c r="C80" s="358" t="s">
        <v>145</v>
      </c>
      <c r="D80" s="100"/>
      <c r="E80" s="100"/>
      <c r="F80" s="45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</row>
    <row r="81" spans="1:17" x14ac:dyDescent="0.25">
      <c r="A81" s="398"/>
      <c r="B81" s="161"/>
      <c r="C81" s="140" t="s">
        <v>148</v>
      </c>
      <c r="D81" s="100"/>
      <c r="E81" s="100"/>
      <c r="F81" s="45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</row>
    <row r="82" spans="1:17" x14ac:dyDescent="0.25">
      <c r="A82" s="399"/>
      <c r="B82" s="73"/>
      <c r="C82" s="73"/>
      <c r="D82" s="18"/>
      <c r="E82" s="18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</row>
    <row r="83" spans="1:17" x14ac:dyDescent="0.25">
      <c r="A83" s="399"/>
      <c r="B83" s="73"/>
      <c r="C83" s="73"/>
      <c r="D83" s="18"/>
      <c r="E83" s="18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</row>
    <row r="84" spans="1:17" s="76" customFormat="1" x14ac:dyDescent="0.25">
      <c r="A84" s="398"/>
      <c r="B84" s="69"/>
      <c r="C84" s="73"/>
      <c r="D84" s="74"/>
      <c r="E84" s="74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</row>
    <row r="85" spans="1:17" s="76" customFormat="1" x14ac:dyDescent="0.25">
      <c r="A85" s="398"/>
      <c r="B85" s="69"/>
      <c r="C85" s="73"/>
      <c r="D85" s="74"/>
      <c r="E85" s="74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</row>
    <row r="86" spans="1:17" s="76" customFormat="1" x14ac:dyDescent="0.25">
      <c r="A86" s="398"/>
      <c r="B86" s="69"/>
      <c r="C86" s="73"/>
      <c r="D86" s="74"/>
      <c r="E86" s="74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</row>
    <row r="87" spans="1:17" s="76" customFormat="1" x14ac:dyDescent="0.25">
      <c r="A87" s="400"/>
      <c r="B87" s="70"/>
      <c r="C87" s="77"/>
      <c r="D87" s="78"/>
      <c r="E87" s="78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</row>
    <row r="88" spans="1:17" s="67" customFormat="1" x14ac:dyDescent="0.25">
      <c r="A88" s="400"/>
      <c r="B88" s="70"/>
      <c r="C88" s="77"/>
      <c r="D88" s="78"/>
      <c r="E88" s="78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</row>
    <row r="89" spans="1:17" x14ac:dyDescent="0.25">
      <c r="A89" s="400"/>
      <c r="B89" s="70"/>
      <c r="C89" s="77"/>
      <c r="D89" s="78"/>
      <c r="E89" s="7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s="67" customFormat="1" x14ac:dyDescent="0.25">
      <c r="A90" s="39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s="67" customFormat="1" x14ac:dyDescent="0.25">
      <c r="A91" s="39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s="67" customFormat="1" x14ac:dyDescent="0.25">
      <c r="A92" s="39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s="733" customFormat="1" x14ac:dyDescent="0.25">
      <c r="A93" s="399"/>
      <c r="B93" s="18"/>
      <c r="C93" s="18"/>
      <c r="D93" s="18"/>
      <c r="E93" s="18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</row>
    <row r="94" spans="1:17" s="733" customFormat="1" x14ac:dyDescent="0.25">
      <c r="A94" s="398"/>
      <c r="B94" s="69"/>
      <c r="C94" s="73"/>
      <c r="D94" s="74"/>
      <c r="E94" s="74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</row>
    <row r="95" spans="1:17" s="79" customFormat="1" x14ac:dyDescent="0.25">
      <c r="A95" s="400"/>
      <c r="B95" s="70"/>
      <c r="C95" s="77"/>
      <c r="D95" s="78"/>
      <c r="E95" s="78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</row>
    <row r="96" spans="1:17" s="79" customFormat="1" x14ac:dyDescent="0.25">
      <c r="A96" s="398"/>
      <c r="B96" s="69"/>
      <c r="C96" s="73"/>
      <c r="D96" s="74"/>
      <c r="E96" s="74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</row>
    <row r="97" spans="1:17" s="79" customFormat="1" x14ac:dyDescent="0.25">
      <c r="A97" s="398"/>
      <c r="B97" s="69"/>
      <c r="C97" s="73"/>
      <c r="D97" s="74"/>
      <c r="E97" s="74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</row>
    <row r="98" spans="1:17" s="79" customFormat="1" x14ac:dyDescent="0.25">
      <c r="A98" s="398"/>
      <c r="B98" s="69"/>
      <c r="C98" s="73"/>
      <c r="D98" s="74"/>
      <c r="E98" s="74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s="72" customFormat="1" x14ac:dyDescent="0.25">
      <c r="A99" s="400"/>
      <c r="B99" s="78"/>
      <c r="C99" s="22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s="72" customFormat="1" x14ac:dyDescent="0.25">
      <c r="A100" s="400"/>
      <c r="B100" s="78"/>
      <c r="C100" s="22"/>
      <c r="D100" s="78"/>
      <c r="E100" s="78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</row>
    <row r="101" spans="1:17" s="67" customFormat="1" x14ac:dyDescent="0.25">
      <c r="A101" s="401"/>
      <c r="B101" s="77"/>
      <c r="C101" s="77"/>
      <c r="D101" s="22"/>
      <c r="E101" s="22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</row>
    <row r="102" spans="1:17" s="67" customFormat="1" x14ac:dyDescent="0.25">
      <c r="A102" s="401"/>
      <c r="B102" s="77"/>
      <c r="C102" s="77"/>
      <c r="D102" s="22"/>
      <c r="E102" s="22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</row>
    <row r="103" spans="1:17" s="67" customFormat="1" x14ac:dyDescent="0.25">
      <c r="A103" s="401"/>
      <c r="B103" s="77"/>
      <c r="C103" s="77"/>
      <c r="D103" s="22"/>
      <c r="E103" s="22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</row>
    <row r="104" spans="1:17" x14ac:dyDescent="0.25">
      <c r="A104" s="401"/>
      <c r="B104" s="77"/>
      <c r="C104" s="77"/>
      <c r="D104" s="22"/>
      <c r="E104" s="22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1:17" s="80" customFormat="1" x14ac:dyDescent="0.25">
      <c r="A105" s="399"/>
      <c r="B105" s="73"/>
      <c r="C105" s="73"/>
      <c r="D105" s="18"/>
      <c r="E105" s="18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1:17" s="80" customFormat="1" x14ac:dyDescent="0.25">
      <c r="A106" s="399"/>
      <c r="B106" s="73"/>
      <c r="C106" s="73"/>
      <c r="D106" s="18"/>
      <c r="E106" s="18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</row>
    <row r="107" spans="1:17" x14ac:dyDescent="0.25">
      <c r="A107" s="398"/>
      <c r="B107" s="69"/>
      <c r="C107" s="73"/>
      <c r="D107" s="74"/>
      <c r="E107" s="74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</row>
    <row r="108" spans="1:17" x14ac:dyDescent="0.25">
      <c r="A108" s="398"/>
      <c r="B108" s="69"/>
      <c r="C108" s="73"/>
      <c r="D108" s="74"/>
      <c r="E108" s="74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</row>
    <row r="109" spans="1:17" s="72" customFormat="1" x14ac:dyDescent="0.25">
      <c r="A109" s="398"/>
      <c r="B109" s="69"/>
      <c r="C109" s="73"/>
      <c r="D109" s="74"/>
      <c r="E109" s="74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</row>
    <row r="110" spans="1:17" s="72" customFormat="1" x14ac:dyDescent="0.25">
      <c r="A110" s="400"/>
      <c r="B110" s="70"/>
      <c r="C110" s="77"/>
      <c r="D110" s="78"/>
      <c r="E110" s="78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</row>
    <row r="111" spans="1:17" s="72" customFormat="1" x14ac:dyDescent="0.25">
      <c r="A111" s="402"/>
      <c r="B111" s="80"/>
      <c r="C111" s="81"/>
      <c r="D111" s="82"/>
      <c r="E111" s="82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</row>
    <row r="112" spans="1:17" x14ac:dyDescent="0.25">
      <c r="A112" s="402"/>
      <c r="B112" s="80"/>
      <c r="C112" s="81"/>
      <c r="D112" s="82"/>
      <c r="E112" s="82"/>
      <c r="F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</row>
    <row r="113" spans="1:17" s="80" customFormat="1" x14ac:dyDescent="0.25">
      <c r="A113" s="400"/>
      <c r="B113" s="70"/>
      <c r="C113" s="77"/>
      <c r="D113" s="78"/>
      <c r="E113" s="78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</row>
    <row r="114" spans="1:17" s="80" customFormat="1" x14ac:dyDescent="0.25">
      <c r="A114" s="400"/>
      <c r="B114" s="70"/>
      <c r="C114" s="77"/>
      <c r="D114" s="78"/>
      <c r="E114" s="78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</row>
    <row r="115" spans="1:17" s="80" customFormat="1" x14ac:dyDescent="0.25">
      <c r="A115" s="399"/>
      <c r="B115" s="73"/>
      <c r="C115" s="73"/>
      <c r="D115" s="18"/>
      <c r="E115" s="18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</row>
    <row r="116" spans="1:17" s="80" customFormat="1" x14ac:dyDescent="0.25">
      <c r="A116" s="399"/>
      <c r="B116" s="73"/>
      <c r="C116" s="73"/>
      <c r="D116" s="18"/>
      <c r="E116" s="18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1:17" s="80" customFormat="1" x14ac:dyDescent="0.25">
      <c r="A117" s="399"/>
      <c r="B117" s="73"/>
      <c r="C117" s="73"/>
      <c r="D117" s="18"/>
      <c r="E117" s="18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</row>
    <row r="118" spans="1:17" s="80" customFormat="1" x14ac:dyDescent="0.25">
      <c r="A118" s="400"/>
      <c r="B118" s="70"/>
      <c r="C118" s="77"/>
      <c r="D118" s="78"/>
      <c r="E118" s="78"/>
    </row>
    <row r="119" spans="1:17" s="80" customFormat="1" x14ac:dyDescent="0.25">
      <c r="A119" s="402"/>
      <c r="C119" s="81"/>
      <c r="D119" s="82"/>
      <c r="E119" s="82"/>
    </row>
    <row r="120" spans="1:17" s="80" customFormat="1" x14ac:dyDescent="0.25">
      <c r="A120" s="402"/>
      <c r="C120" s="81"/>
      <c r="D120" s="82"/>
      <c r="E120" s="82"/>
    </row>
    <row r="121" spans="1:17" s="80" customFormat="1" x14ac:dyDescent="0.25">
      <c r="A121" s="402"/>
      <c r="C121" s="81"/>
      <c r="D121" s="82"/>
      <c r="E121" s="82"/>
    </row>
    <row r="122" spans="1:17" s="80" customFormat="1" x14ac:dyDescent="0.25">
      <c r="A122" s="402"/>
      <c r="C122" s="81"/>
      <c r="D122" s="82"/>
      <c r="E122" s="82"/>
    </row>
    <row r="123" spans="1:17" s="80" customFormat="1" x14ac:dyDescent="0.25">
      <c r="A123" s="402"/>
      <c r="C123" s="81"/>
      <c r="D123" s="82"/>
      <c r="E123" s="82"/>
    </row>
    <row r="124" spans="1:17" s="80" customFormat="1" x14ac:dyDescent="0.25">
      <c r="A124" s="402"/>
      <c r="C124" s="81"/>
      <c r="D124" s="82"/>
      <c r="E124" s="82"/>
    </row>
    <row r="125" spans="1:17" s="80" customFormat="1" x14ac:dyDescent="0.25">
      <c r="A125" s="402"/>
      <c r="C125" s="81"/>
      <c r="D125" s="82"/>
      <c r="E125" s="82"/>
    </row>
    <row r="126" spans="1:17" s="80" customFormat="1" x14ac:dyDescent="0.25">
      <c r="A126" s="402"/>
      <c r="C126" s="81"/>
      <c r="D126" s="82"/>
      <c r="E126" s="82"/>
    </row>
    <row r="127" spans="1:17" s="80" customFormat="1" x14ac:dyDescent="0.25">
      <c r="A127" s="402"/>
      <c r="C127" s="81"/>
      <c r="D127" s="82"/>
      <c r="E127" s="82"/>
    </row>
    <row r="128" spans="1:17" s="80" customFormat="1" x14ac:dyDescent="0.25">
      <c r="A128" s="402"/>
      <c r="C128" s="81"/>
      <c r="D128" s="82"/>
      <c r="E128" s="82"/>
    </row>
    <row r="129" spans="1:17" x14ac:dyDescent="0.25">
      <c r="A129" s="402"/>
      <c r="B129" s="80"/>
      <c r="C129" s="81"/>
      <c r="D129" s="82"/>
      <c r="E129" s="82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</row>
    <row r="130" spans="1:17" x14ac:dyDescent="0.25">
      <c r="A130" s="402"/>
      <c r="B130" s="80"/>
      <c r="C130" s="81"/>
      <c r="D130" s="82"/>
      <c r="E130" s="82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</row>
    <row r="131" spans="1:17" x14ac:dyDescent="0.25">
      <c r="A131" s="402"/>
      <c r="B131" s="80"/>
      <c r="C131" s="81"/>
      <c r="D131" s="82"/>
      <c r="E131" s="82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</row>
    <row r="132" spans="1:17" x14ac:dyDescent="0.25">
      <c r="A132" s="402"/>
      <c r="B132" s="80"/>
      <c r="C132" s="81"/>
      <c r="D132" s="82"/>
      <c r="E132" s="82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</row>
    <row r="133" spans="1:17" x14ac:dyDescent="0.25">
      <c r="A133" s="402"/>
      <c r="B133" s="80"/>
      <c r="C133" s="81"/>
      <c r="D133" s="82"/>
      <c r="E133" s="82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</row>
    <row r="134" spans="1:17" x14ac:dyDescent="0.25">
      <c r="A134" s="402"/>
      <c r="B134" s="80"/>
      <c r="C134" s="81"/>
      <c r="D134" s="82"/>
      <c r="E134" s="82"/>
      <c r="G134" s="75"/>
    </row>
    <row r="135" spans="1:17" x14ac:dyDescent="0.25">
      <c r="C135" s="79"/>
      <c r="G135" s="75"/>
    </row>
    <row r="136" spans="1:17" x14ac:dyDescent="0.25">
      <c r="C136" s="79"/>
      <c r="G136" s="75"/>
    </row>
    <row r="137" spans="1:17" x14ac:dyDescent="0.25">
      <c r="C137" s="79"/>
      <c r="G137" s="75"/>
    </row>
    <row r="138" spans="1:17" x14ac:dyDescent="0.25">
      <c r="C138" s="79"/>
      <c r="G138" s="75"/>
    </row>
    <row r="139" spans="1:17" x14ac:dyDescent="0.25">
      <c r="C139" s="79"/>
      <c r="G139" s="75"/>
    </row>
    <row r="140" spans="1:17" x14ac:dyDescent="0.25">
      <c r="C140" s="79"/>
      <c r="G140" s="75"/>
    </row>
    <row r="141" spans="1:17" x14ac:dyDescent="0.25">
      <c r="C141" s="79"/>
      <c r="G141" s="75"/>
    </row>
    <row r="142" spans="1:17" x14ac:dyDescent="0.25">
      <c r="C142" s="79"/>
      <c r="G142" s="75"/>
    </row>
    <row r="143" spans="1:17" x14ac:dyDescent="0.25">
      <c r="C143" s="79"/>
    </row>
  </sheetData>
  <autoFilter ref="A12:HZ70" xr:uid="{00000000-0009-0000-0000-000013000000}"/>
  <mergeCells count="8"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I23"/>
  <sheetViews>
    <sheetView view="pageBreakPreview" zoomScale="85" zoomScaleNormal="85" zoomScaleSheetLayoutView="85" workbookViewId="0">
      <selection activeCell="D20" sqref="D20"/>
    </sheetView>
  </sheetViews>
  <sheetFormatPr defaultColWidth="9.42578125" defaultRowHeight="11.25" x14ac:dyDescent="0.25"/>
  <cols>
    <col min="1" max="1" width="9.85546875" style="143" customWidth="1"/>
    <col min="2" max="2" width="60.85546875" style="161" customWidth="1"/>
    <col min="3" max="3" width="6" style="143" customWidth="1"/>
    <col min="4" max="4" width="16.28515625" style="161" bestFit="1" customWidth="1"/>
    <col min="5" max="16384" width="9.42578125" style="161"/>
  </cols>
  <sheetData>
    <row r="1" spans="1:113" s="690" customFormat="1" x14ac:dyDescent="0.25">
      <c r="A1" s="823" t="s">
        <v>127</v>
      </c>
      <c r="B1" s="823"/>
      <c r="C1" s="823"/>
      <c r="D1" s="823"/>
      <c r="E1" s="161"/>
      <c r="F1" s="253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</row>
    <row r="2" spans="1:113" s="690" customFormat="1" ht="15" x14ac:dyDescent="0.25">
      <c r="A2" s="166"/>
      <c r="B2" s="138"/>
      <c r="C2" s="722"/>
      <c r="D2" s="722"/>
      <c r="E2" s="161"/>
      <c r="F2" s="262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</row>
    <row r="3" spans="1:113" s="690" customFormat="1" x14ac:dyDescent="0.25">
      <c r="A3" s="166"/>
      <c r="B3" s="722"/>
      <c r="C3" s="166"/>
      <c r="D3" s="722"/>
      <c r="E3" s="161"/>
      <c r="F3" s="2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</row>
    <row r="4" spans="1:113" s="690" customFormat="1" x14ac:dyDescent="0.25">
      <c r="A4" s="168" t="str">
        <f>nos</f>
        <v>Būves nosaukums:  Dzīvojamās māja</v>
      </c>
      <c r="B4" s="5"/>
      <c r="C4" s="5"/>
      <c r="D4" s="5"/>
      <c r="E4" s="162"/>
      <c r="F4" s="261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</row>
    <row r="5" spans="1:113" s="690" customFormat="1" x14ac:dyDescent="0.25">
      <c r="A5" s="168" t="str">
        <f>obj</f>
        <v>Objekta nosaukums: Dzīvojamās ēkas fasādes vienkāršota atjaunošana</v>
      </c>
      <c r="B5" s="167"/>
      <c r="C5" s="168"/>
      <c r="D5" s="167"/>
      <c r="E5" s="162"/>
      <c r="F5" s="261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</row>
    <row r="6" spans="1:113" s="690" customFormat="1" x14ac:dyDescent="0.25">
      <c r="A6" s="168" t="str">
        <f>adres</f>
        <v>Objekta adrese: Aisteres iela 7, Liepājā</v>
      </c>
      <c r="B6" s="169"/>
      <c r="C6" s="170"/>
      <c r="D6" s="167"/>
      <c r="E6" s="162"/>
      <c r="F6" s="263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</row>
    <row r="7" spans="1:113" s="690" customFormat="1" ht="15" x14ac:dyDescent="0.25">
      <c r="A7" s="168" t="str">
        <f>nr</f>
        <v>Pasūtījuma Nr.WS-41-17</v>
      </c>
      <c r="B7" s="169"/>
      <c r="C7" s="170"/>
      <c r="D7" s="167"/>
      <c r="E7" s="162"/>
      <c r="F7" s="2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</row>
    <row r="8" spans="1:113" s="690" customFormat="1" ht="15" x14ac:dyDescent="0.25">
      <c r="A8" s="168"/>
      <c r="B8" s="138"/>
      <c r="C8" s="138"/>
      <c r="D8" s="138"/>
      <c r="E8" s="161"/>
      <c r="F8" s="262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</row>
    <row r="9" spans="1:113" s="690" customFormat="1" x14ac:dyDescent="0.25">
      <c r="A9" s="172"/>
      <c r="B9" s="161"/>
      <c r="C9" s="143"/>
      <c r="D9" s="161"/>
      <c r="E9" s="161"/>
      <c r="F9" s="253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</row>
    <row r="10" spans="1:113" s="690" customFormat="1" ht="15" x14ac:dyDescent="0.25">
      <c r="A10" s="143"/>
      <c r="B10" s="74" t="s">
        <v>128</v>
      </c>
      <c r="C10" s="172"/>
      <c r="D10" s="171"/>
      <c r="E10" s="161"/>
      <c r="F10" s="262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</row>
    <row r="11" spans="1:113" ht="15" x14ac:dyDescent="0.25">
      <c r="F11" s="262"/>
    </row>
    <row r="12" spans="1:113" s="690" customFormat="1" x14ac:dyDescent="0.25">
      <c r="A12" s="418" t="s">
        <v>7</v>
      </c>
      <c r="B12" s="174" t="s">
        <v>129</v>
      </c>
      <c r="C12" s="691"/>
      <c r="D12" s="174" t="s">
        <v>130</v>
      </c>
      <c r="E12" s="173"/>
      <c r="F12" s="25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</row>
    <row r="13" spans="1:113" s="690" customFormat="1" ht="26.25" customHeight="1" x14ac:dyDescent="0.25">
      <c r="A13" s="113">
        <v>1</v>
      </c>
      <c r="B13" s="113" t="s">
        <v>696</v>
      </c>
      <c r="C13" s="691"/>
      <c r="D13" s="185">
        <f>KPDV!I43</f>
        <v>0</v>
      </c>
      <c r="E13" s="175"/>
      <c r="F13" s="266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</row>
    <row r="14" spans="1:113" s="690" customFormat="1" x14ac:dyDescent="0.25">
      <c r="A14" s="419"/>
      <c r="B14" s="176" t="s">
        <v>54</v>
      </c>
      <c r="C14" s="177"/>
      <c r="D14" s="178">
        <f>D13</f>
        <v>0</v>
      </c>
      <c r="E14" s="175"/>
      <c r="F14" s="266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</row>
    <row r="15" spans="1:113" s="690" customFormat="1" x14ac:dyDescent="0.25">
      <c r="A15" s="181"/>
      <c r="B15" s="179" t="s">
        <v>61</v>
      </c>
      <c r="C15" s="180">
        <v>0.21</v>
      </c>
      <c r="D15" s="178">
        <f>D14*C15</f>
        <v>0</v>
      </c>
      <c r="E15" s="161"/>
      <c r="F15" s="266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</row>
    <row r="16" spans="1:113" s="690" customFormat="1" x14ac:dyDescent="0.25">
      <c r="A16" s="181"/>
      <c r="B16" s="179" t="s">
        <v>62</v>
      </c>
      <c r="C16" s="177"/>
      <c r="D16" s="178">
        <f>SUM(D14:D15)</f>
        <v>0</v>
      </c>
      <c r="E16" s="161"/>
      <c r="F16" s="266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</row>
    <row r="17" spans="1:113" s="690" customFormat="1" x14ac:dyDescent="0.25">
      <c r="A17" s="143"/>
      <c r="B17" s="570" t="s">
        <v>863</v>
      </c>
      <c r="C17" s="143"/>
      <c r="D17" s="161"/>
      <c r="E17" s="161"/>
      <c r="F17" s="266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</row>
    <row r="18" spans="1:113" s="690" customFormat="1" x14ac:dyDescent="0.25">
      <c r="A18" s="143"/>
      <c r="B18" s="571" t="s">
        <v>864</v>
      </c>
      <c r="C18" s="143"/>
      <c r="D18" s="161"/>
      <c r="E18" s="161"/>
      <c r="F18" s="266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</row>
    <row r="19" spans="1:113" s="690" customFormat="1" x14ac:dyDescent="0.25">
      <c r="A19" s="143"/>
      <c r="B19" s="571"/>
      <c r="C19" s="143"/>
      <c r="D19" s="161"/>
      <c r="E19" s="161"/>
      <c r="F19" s="266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</row>
    <row r="20" spans="1:113" s="690" customFormat="1" x14ac:dyDescent="0.25">
      <c r="A20" s="143"/>
      <c r="B20" s="570" t="s">
        <v>82</v>
      </c>
      <c r="C20" s="143"/>
      <c r="D20" s="161"/>
      <c r="E20" s="161"/>
      <c r="F20" s="266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</row>
    <row r="21" spans="1:113" s="690" customFormat="1" x14ac:dyDescent="0.25">
      <c r="A21" s="143"/>
      <c r="B21" s="572" t="s">
        <v>131</v>
      </c>
      <c r="C21" s="143"/>
      <c r="D21" s="161"/>
      <c r="E21" s="161"/>
      <c r="F21" s="266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</row>
    <row r="22" spans="1:113" x14ac:dyDescent="0.25">
      <c r="B22" s="573"/>
      <c r="F22" s="266"/>
    </row>
    <row r="23" spans="1:113" x14ac:dyDescent="0.25">
      <c r="E23" s="161" t="s">
        <v>712</v>
      </c>
      <c r="F23" s="266"/>
    </row>
  </sheetData>
  <mergeCells count="1">
    <mergeCell ref="A1:D1"/>
  </mergeCells>
  <pageMargins left="0.7" right="0.7" top="0.75" bottom="0.75" header="0.3" footer="0.3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HZ137"/>
  <sheetViews>
    <sheetView view="pageBreakPreview" topLeftCell="A23" zoomScale="85" zoomScaleNormal="115" zoomScaleSheetLayoutView="85" workbookViewId="0">
      <selection activeCell="C65" sqref="C65"/>
    </sheetView>
  </sheetViews>
  <sheetFormatPr defaultColWidth="8.7109375" defaultRowHeight="11.25" x14ac:dyDescent="0.25"/>
  <cols>
    <col min="1" max="1" width="3.7109375" style="68" customWidth="1"/>
    <col min="2" max="2" width="4.42578125" style="733" customWidth="1"/>
    <col min="3" max="3" width="53.5703125" style="84" customWidth="1"/>
    <col min="4" max="4" width="4.85546875" style="733" customWidth="1"/>
    <col min="5" max="5" width="7.28515625" style="733" customWidth="1"/>
    <col min="6" max="6" width="7" style="733" hidden="1" customWidth="1"/>
    <col min="7" max="7" width="7.5703125" style="78" customWidth="1"/>
    <col min="8" max="9" width="7.5703125" style="733" customWidth="1"/>
    <col min="10" max="10" width="6" style="733" customWidth="1"/>
    <col min="11" max="13" width="7.5703125" style="733" customWidth="1"/>
    <col min="14" max="14" width="8.28515625" style="733" customWidth="1"/>
    <col min="15" max="15" width="10.7109375" style="733" customWidth="1"/>
    <col min="16" max="16" width="7.5703125" style="733" customWidth="1"/>
    <col min="17" max="17" width="8.42578125" style="733" customWidth="1"/>
    <col min="18" max="16384" width="8.7109375" style="733"/>
  </cols>
  <sheetData>
    <row r="1" spans="1:18" s="343" customFormat="1" ht="12" thickBot="1" x14ac:dyDescent="0.3">
      <c r="B1" s="64"/>
      <c r="C1" s="64"/>
      <c r="D1" s="64"/>
      <c r="E1" s="64"/>
      <c r="F1" s="64"/>
      <c r="G1" s="746" t="s">
        <v>6</v>
      </c>
      <c r="H1" s="1">
        <f>KPDV!B29</f>
        <v>17</v>
      </c>
      <c r="I1" s="342"/>
      <c r="J1" s="342"/>
      <c r="K1" s="342"/>
      <c r="L1" s="342"/>
      <c r="M1" s="342"/>
      <c r="N1" s="342"/>
      <c r="O1" s="342"/>
      <c r="P1" s="342"/>
      <c r="Q1" s="342"/>
    </row>
    <row r="2" spans="1:18" s="343" customFormat="1" ht="12" thickBot="1" x14ac:dyDescent="0.3">
      <c r="A2" s="396"/>
      <c r="B2" s="342"/>
      <c r="C2" s="349" t="s">
        <v>817</v>
      </c>
      <c r="D2" s="342"/>
      <c r="E2" s="342"/>
      <c r="F2" s="342"/>
      <c r="G2" s="344"/>
      <c r="H2" s="184"/>
      <c r="I2" s="342"/>
      <c r="J2" s="342"/>
      <c r="K2" s="342"/>
      <c r="L2" s="342"/>
      <c r="M2" s="342"/>
      <c r="N2" s="342"/>
      <c r="O2" s="342"/>
      <c r="P2" s="342"/>
      <c r="Q2" s="342"/>
    </row>
    <row r="3" spans="1:18" s="343" customFormat="1" x14ac:dyDescent="0.25">
      <c r="A3" s="190" t="str">
        <f>nos</f>
        <v>Būves nosaukums:  Dzīvojamās māja</v>
      </c>
      <c r="B3" s="199"/>
      <c r="C3" s="350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8" s="343" customFormat="1" x14ac:dyDescent="0.25">
      <c r="A4" s="168" t="str">
        <f>obj</f>
        <v>Objekta nosaukums: Dzīvojamās ēkas fasādes vienkāršota atjaunošana</v>
      </c>
      <c r="B4" s="199"/>
      <c r="C4" s="350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</row>
    <row r="5" spans="1:18" s="343" customFormat="1" x14ac:dyDescent="0.25">
      <c r="A5" s="168" t="str">
        <f>adres</f>
        <v>Objekta adrese: Aisteres iela 7, Liepājā</v>
      </c>
      <c r="B5" s="199"/>
      <c r="C5" s="350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345"/>
    </row>
    <row r="6" spans="1:18" s="343" customFormat="1" ht="12" thickBot="1" x14ac:dyDescent="0.3">
      <c r="A6" s="168" t="str">
        <f>nr</f>
        <v>Pasūtījuma Nr.WS-41-17</v>
      </c>
      <c r="B6" s="199"/>
      <c r="C6" s="350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8" s="343" customFormat="1" ht="12" thickBot="1" x14ac:dyDescent="0.3">
      <c r="A7" s="190"/>
      <c r="B7" s="187"/>
      <c r="C7" s="351" t="s">
        <v>695</v>
      </c>
      <c r="D7" s="171" t="s">
        <v>721</v>
      </c>
      <c r="E7" s="182" t="s">
        <v>143</v>
      </c>
      <c r="G7" s="187"/>
      <c r="H7" s="187"/>
      <c r="I7" s="187"/>
      <c r="J7" s="187"/>
      <c r="K7" s="187"/>
      <c r="L7" s="187"/>
      <c r="M7" s="187"/>
      <c r="N7" s="187"/>
      <c r="O7" s="187"/>
      <c r="P7" s="187" t="s">
        <v>144</v>
      </c>
      <c r="Q7" s="6">
        <f>Q67</f>
        <v>0</v>
      </c>
    </row>
    <row r="8" spans="1:18" s="343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346"/>
      <c r="P8" s="346" t="str">
        <f>KPDV!C47</f>
        <v>Tāme sastādīta 201__. gada __.____________</v>
      </c>
      <c r="Q8" s="344"/>
    </row>
    <row r="9" spans="1:18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8" ht="51.75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8" s="83" customFormat="1" x14ac:dyDescent="0.25">
      <c r="A11" s="397">
        <v>1</v>
      </c>
      <c r="B11" s="235">
        <f>A11+1</f>
        <v>2</v>
      </c>
      <c r="C11" s="352">
        <f>B11+1</f>
        <v>3</v>
      </c>
      <c r="D11" s="235">
        <f>C11+1</f>
        <v>4</v>
      </c>
      <c r="E11" s="235">
        <f>D11+1</f>
        <v>5</v>
      </c>
      <c r="F11" s="235"/>
      <c r="G11" s="235">
        <f>E11+1</f>
        <v>6</v>
      </c>
      <c r="H11" s="235">
        <f t="shared" ref="H11:Q11" si="0">G11+1</f>
        <v>7</v>
      </c>
      <c r="I11" s="235">
        <f t="shared" si="0"/>
        <v>8</v>
      </c>
      <c r="J11" s="235">
        <f t="shared" si="0"/>
        <v>9</v>
      </c>
      <c r="K11" s="235">
        <f t="shared" si="0"/>
        <v>10</v>
      </c>
      <c r="L11" s="235">
        <f t="shared" si="0"/>
        <v>11</v>
      </c>
      <c r="M11" s="235">
        <f t="shared" si="0"/>
        <v>12</v>
      </c>
      <c r="N11" s="235">
        <f t="shared" si="0"/>
        <v>13</v>
      </c>
      <c r="O11" s="235">
        <f t="shared" si="0"/>
        <v>14</v>
      </c>
      <c r="P11" s="235">
        <f t="shared" si="0"/>
        <v>15</v>
      </c>
      <c r="Q11" s="235">
        <f t="shared" si="0"/>
        <v>16</v>
      </c>
    </row>
    <row r="12" spans="1:18" s="724" customFormat="1" ht="22.5" x14ac:dyDescent="0.25">
      <c r="A12" s="57" t="str">
        <f>IF(COUNTBLANK(B12)=1," ",COUNTA($B$12:B12))</f>
        <v xml:space="preserve"> </v>
      </c>
      <c r="B12" s="664"/>
      <c r="C12" s="672" t="s">
        <v>818</v>
      </c>
      <c r="D12" s="664"/>
      <c r="E12" s="664"/>
      <c r="F12" s="664"/>
      <c r="G12" s="664"/>
      <c r="H12" s="665"/>
      <c r="I12" s="312"/>
      <c r="J12" s="312"/>
      <c r="K12" s="312"/>
      <c r="L12" s="314"/>
      <c r="M12" s="315"/>
      <c r="N12" s="315"/>
      <c r="O12" s="315"/>
      <c r="P12" s="315"/>
      <c r="Q12" s="315"/>
    </row>
    <row r="13" spans="1:18" s="162" customFormat="1" x14ac:dyDescent="0.25">
      <c r="A13" s="57" t="str">
        <f>IF(COUNTBLANK(B13)=1," ",COUNTA($B$12:B13))</f>
        <v xml:space="preserve"> </v>
      </c>
      <c r="B13" s="729"/>
      <c r="C13" s="679" t="s">
        <v>819</v>
      </c>
      <c r="D13" s="743" t="s">
        <v>32</v>
      </c>
      <c r="E13" s="10">
        <v>67</v>
      </c>
      <c r="F13" s="618"/>
      <c r="G13" s="34"/>
      <c r="H13" s="271"/>
      <c r="I13" s="34"/>
      <c r="J13" s="15"/>
      <c r="K13" s="34"/>
      <c r="L13" s="278"/>
      <c r="M13" s="279"/>
      <c r="N13" s="272"/>
      <c r="O13" s="272"/>
      <c r="P13" s="272"/>
      <c r="Q13" s="433"/>
      <c r="R13" s="343"/>
    </row>
    <row r="14" spans="1:18" s="93" customFormat="1" ht="22.5" x14ac:dyDescent="0.25">
      <c r="A14" s="57" t="str">
        <f>IF(COUNTBLANK(B14)=1," ",COUNTA($B$12:B14))</f>
        <v xml:space="preserve"> </v>
      </c>
      <c r="B14" s="676"/>
      <c r="C14" s="54" t="s">
        <v>374</v>
      </c>
      <c r="D14" s="743" t="s">
        <v>23</v>
      </c>
      <c r="E14" s="10">
        <v>404.613</v>
      </c>
      <c r="F14" s="619">
        <v>6.04</v>
      </c>
      <c r="G14" s="620"/>
      <c r="H14" s="619"/>
      <c r="I14" s="136"/>
      <c r="J14" s="136"/>
      <c r="K14" s="136"/>
      <c r="L14" s="278"/>
      <c r="M14" s="279"/>
      <c r="N14" s="272"/>
      <c r="O14" s="272"/>
      <c r="P14" s="272"/>
      <c r="Q14" s="433"/>
    </row>
    <row r="15" spans="1:18" s="93" customFormat="1" ht="22.5" x14ac:dyDescent="0.25">
      <c r="A15" s="57" t="str">
        <f>IF(COUNTBLANK(B15)=1," ",COUNTA($B$12:B15))</f>
        <v xml:space="preserve"> </v>
      </c>
      <c r="B15" s="366"/>
      <c r="C15" s="54" t="s">
        <v>375</v>
      </c>
      <c r="D15" s="743" t="s">
        <v>23</v>
      </c>
      <c r="E15" s="10">
        <v>3854.6976000000004</v>
      </c>
      <c r="F15" s="619">
        <v>57.53</v>
      </c>
      <c r="G15" s="619"/>
      <c r="H15" s="619"/>
      <c r="I15" s="136"/>
      <c r="J15" s="136"/>
      <c r="K15" s="136"/>
      <c r="L15" s="278"/>
      <c r="M15" s="279"/>
      <c r="N15" s="272"/>
      <c r="O15" s="272"/>
      <c r="P15" s="272"/>
      <c r="Q15" s="433"/>
    </row>
    <row r="16" spans="1:18" s="162" customFormat="1" x14ac:dyDescent="0.25">
      <c r="A16" s="57" t="str">
        <f>IF(COUNTBLANK(B16)=1," ",COUNTA($B$12:B16))</f>
        <v xml:space="preserve"> </v>
      </c>
      <c r="B16" s="366"/>
      <c r="C16" s="54" t="s">
        <v>376</v>
      </c>
      <c r="D16" s="743" t="s">
        <v>23</v>
      </c>
      <c r="E16" s="10">
        <v>209.04000000000002</v>
      </c>
      <c r="F16" s="619">
        <v>3.12</v>
      </c>
      <c r="G16" s="619"/>
      <c r="H16" s="619"/>
      <c r="I16" s="136"/>
      <c r="J16" s="136"/>
      <c r="K16" s="136"/>
      <c r="L16" s="278"/>
      <c r="M16" s="279"/>
      <c r="N16" s="272"/>
      <c r="O16" s="272"/>
      <c r="P16" s="272"/>
      <c r="Q16" s="433"/>
    </row>
    <row r="17" spans="1:234" s="162" customFormat="1" x14ac:dyDescent="0.25">
      <c r="A17" s="57" t="str">
        <f>IF(COUNTBLANK(B17)=1," ",COUNTA($B$12:B17))</f>
        <v xml:space="preserve"> </v>
      </c>
      <c r="B17" s="366"/>
      <c r="C17" s="54" t="s">
        <v>377</v>
      </c>
      <c r="D17" s="743" t="s">
        <v>32</v>
      </c>
      <c r="E17" s="10">
        <f>190*2</f>
        <v>380</v>
      </c>
      <c r="F17" s="620">
        <v>5.67</v>
      </c>
      <c r="G17" s="619"/>
      <c r="H17" s="619"/>
      <c r="I17" s="136"/>
      <c r="J17" s="136"/>
      <c r="K17" s="136"/>
      <c r="L17" s="278"/>
      <c r="M17" s="279"/>
      <c r="N17" s="272"/>
      <c r="O17" s="272"/>
      <c r="P17" s="272"/>
      <c r="Q17" s="433"/>
    </row>
    <row r="18" spans="1:234" s="162" customFormat="1" x14ac:dyDescent="0.25">
      <c r="A18" s="57" t="str">
        <f>IF(COUNTBLANK(B18)=1," ",COUNTA($B$12:B18))</f>
        <v xml:space="preserve"> </v>
      </c>
      <c r="B18" s="366"/>
      <c r="C18" s="54" t="s">
        <v>378</v>
      </c>
      <c r="D18" s="743" t="s">
        <v>23</v>
      </c>
      <c r="E18" s="10">
        <v>3754.3584000000005</v>
      </c>
      <c r="F18" s="619">
        <v>56.035200000000003</v>
      </c>
      <c r="G18" s="619"/>
      <c r="H18" s="619"/>
      <c r="I18" s="136"/>
      <c r="J18" s="136"/>
      <c r="K18" s="136"/>
      <c r="L18" s="278"/>
      <c r="M18" s="279"/>
      <c r="N18" s="272"/>
      <c r="O18" s="272"/>
      <c r="P18" s="272"/>
      <c r="Q18" s="433"/>
    </row>
    <row r="19" spans="1:234" s="723" customFormat="1" ht="15" x14ac:dyDescent="0.25">
      <c r="A19" s="57" t="str">
        <f>IF(COUNTBLANK(B19)=1," ",COUNTA($B$12:B19))</f>
        <v xml:space="preserve"> </v>
      </c>
      <c r="B19" s="366"/>
      <c r="C19" s="54" t="s">
        <v>379</v>
      </c>
      <c r="D19" s="743" t="s">
        <v>32</v>
      </c>
      <c r="E19" s="10">
        <v>670</v>
      </c>
      <c r="F19" s="620">
        <v>10</v>
      </c>
      <c r="G19" s="619"/>
      <c r="H19" s="619"/>
      <c r="I19" s="312"/>
      <c r="J19" s="312"/>
      <c r="K19" s="312"/>
      <c r="L19" s="278"/>
      <c r="M19" s="279"/>
      <c r="N19" s="272"/>
      <c r="O19" s="272"/>
      <c r="P19" s="272"/>
      <c r="Q19" s="433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47"/>
      <c r="BY19" s="347"/>
      <c r="BZ19" s="347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7"/>
      <c r="CM19" s="347"/>
      <c r="CN19" s="347"/>
      <c r="CO19" s="347"/>
      <c r="CP19" s="347"/>
      <c r="CQ19" s="347"/>
      <c r="CR19" s="347"/>
      <c r="CS19" s="347"/>
      <c r="CT19" s="347"/>
      <c r="CU19" s="347"/>
      <c r="CV19" s="347"/>
      <c r="CW19" s="347"/>
      <c r="CX19" s="347"/>
      <c r="CY19" s="347"/>
      <c r="CZ19" s="347"/>
      <c r="DA19" s="347"/>
      <c r="DB19" s="347"/>
      <c r="DC19" s="347"/>
      <c r="DD19" s="347"/>
      <c r="DE19" s="347"/>
      <c r="DF19" s="347"/>
      <c r="DG19" s="347"/>
      <c r="DH19" s="347"/>
      <c r="DI19" s="347"/>
      <c r="DJ19" s="347"/>
      <c r="DK19" s="347"/>
      <c r="DL19" s="347"/>
      <c r="DM19" s="347"/>
      <c r="DN19" s="347"/>
      <c r="DO19" s="347"/>
      <c r="DP19" s="347"/>
      <c r="DQ19" s="347"/>
      <c r="DR19" s="347"/>
      <c r="DS19" s="347"/>
      <c r="DT19" s="347"/>
      <c r="DU19" s="347"/>
      <c r="DV19" s="347"/>
      <c r="DW19" s="347"/>
      <c r="DX19" s="347"/>
      <c r="DY19" s="347"/>
      <c r="DZ19" s="347"/>
      <c r="EA19" s="347"/>
      <c r="EB19" s="347"/>
      <c r="EC19" s="347"/>
      <c r="ED19" s="347"/>
      <c r="EE19" s="347"/>
      <c r="EF19" s="347"/>
      <c r="EG19" s="347"/>
      <c r="EH19" s="347"/>
      <c r="EI19" s="347"/>
      <c r="EJ19" s="347"/>
      <c r="EK19" s="347"/>
      <c r="EL19" s="347"/>
      <c r="EM19" s="347"/>
      <c r="EN19" s="347"/>
      <c r="EO19" s="347"/>
      <c r="EP19" s="347"/>
      <c r="EQ19" s="347"/>
      <c r="ER19" s="347"/>
      <c r="ES19" s="347"/>
      <c r="ET19" s="347"/>
      <c r="EU19" s="347"/>
      <c r="EV19" s="347"/>
      <c r="EW19" s="347"/>
      <c r="EX19" s="347"/>
      <c r="EY19" s="347"/>
      <c r="EZ19" s="347"/>
      <c r="FA19" s="347"/>
      <c r="FB19" s="347"/>
      <c r="FC19" s="347"/>
      <c r="FD19" s="347"/>
      <c r="FE19" s="347"/>
      <c r="FF19" s="347"/>
      <c r="FG19" s="347"/>
      <c r="FH19" s="347"/>
      <c r="FI19" s="347"/>
      <c r="FJ19" s="347"/>
      <c r="FK19" s="347"/>
      <c r="FL19" s="347"/>
      <c r="FM19" s="347"/>
      <c r="FN19" s="347"/>
      <c r="FO19" s="347"/>
      <c r="FP19" s="347"/>
      <c r="FQ19" s="347"/>
      <c r="FR19" s="347"/>
      <c r="FS19" s="347"/>
      <c r="FT19" s="347"/>
      <c r="FU19" s="347"/>
      <c r="FV19" s="347"/>
      <c r="FW19" s="347"/>
      <c r="FX19" s="347"/>
      <c r="FY19" s="347"/>
      <c r="FZ19" s="347"/>
      <c r="GA19" s="347"/>
      <c r="GB19" s="347"/>
      <c r="GC19" s="347"/>
      <c r="GD19" s="347"/>
      <c r="GE19" s="347"/>
      <c r="GF19" s="347"/>
      <c r="GG19" s="347"/>
      <c r="GH19" s="347"/>
      <c r="GI19" s="347"/>
      <c r="GJ19" s="347"/>
      <c r="GK19" s="347"/>
      <c r="GL19" s="347"/>
      <c r="GM19" s="347"/>
      <c r="GN19" s="347"/>
      <c r="GO19" s="347"/>
      <c r="GP19" s="347"/>
      <c r="GQ19" s="347"/>
      <c r="GR19" s="347"/>
      <c r="GS19" s="347"/>
      <c r="GT19" s="347"/>
      <c r="GU19" s="347"/>
      <c r="GV19" s="347"/>
      <c r="GW19" s="347"/>
      <c r="GX19" s="347"/>
      <c r="GY19" s="347"/>
      <c r="GZ19" s="347"/>
      <c r="HA19" s="347"/>
      <c r="HB19" s="347"/>
      <c r="HC19" s="347"/>
      <c r="HD19" s="347"/>
      <c r="HE19" s="347"/>
      <c r="HF19" s="347"/>
      <c r="HG19" s="347"/>
      <c r="HH19" s="347"/>
      <c r="HI19" s="347"/>
      <c r="HJ19" s="347"/>
      <c r="HK19" s="347"/>
      <c r="HL19" s="347"/>
      <c r="HM19" s="347"/>
      <c r="HN19" s="347"/>
      <c r="HO19" s="347"/>
      <c r="HP19" s="347"/>
      <c r="HQ19" s="347"/>
      <c r="HR19" s="347"/>
      <c r="HS19" s="347"/>
      <c r="HT19" s="347"/>
      <c r="HU19" s="347"/>
      <c r="HV19" s="347"/>
      <c r="HW19" s="347"/>
      <c r="HX19" s="347"/>
      <c r="HY19" s="347"/>
      <c r="HZ19" s="347"/>
    </row>
    <row r="20" spans="1:234" s="723" customFormat="1" ht="22.5" x14ac:dyDescent="0.25">
      <c r="A20" s="57" t="str">
        <f>IF(COUNTBLANK(B20)=1," ",COUNTA($B$12:B20))</f>
        <v xml:space="preserve"> </v>
      </c>
      <c r="B20" s="366"/>
      <c r="C20" s="54" t="s">
        <v>380</v>
      </c>
      <c r="D20" s="743" t="s">
        <v>23</v>
      </c>
      <c r="E20" s="10">
        <v>209</v>
      </c>
      <c r="F20" s="377">
        <v>3.12</v>
      </c>
      <c r="G20" s="377"/>
      <c r="H20" s="377"/>
      <c r="I20" s="312"/>
      <c r="J20" s="312"/>
      <c r="K20" s="312"/>
      <c r="L20" s="278"/>
      <c r="M20" s="279"/>
      <c r="N20" s="272"/>
      <c r="O20" s="272"/>
      <c r="P20" s="272"/>
      <c r="Q20" s="433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7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7"/>
      <c r="BX20" s="347"/>
      <c r="BY20" s="347"/>
      <c r="BZ20" s="347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7"/>
      <c r="CM20" s="347"/>
      <c r="CN20" s="347"/>
      <c r="CO20" s="347"/>
      <c r="CP20" s="347"/>
      <c r="CQ20" s="347"/>
      <c r="CR20" s="347"/>
      <c r="CS20" s="347"/>
      <c r="CT20" s="347"/>
      <c r="CU20" s="347"/>
      <c r="CV20" s="347"/>
      <c r="CW20" s="347"/>
      <c r="CX20" s="347"/>
      <c r="CY20" s="347"/>
      <c r="CZ20" s="347"/>
      <c r="DA20" s="347"/>
      <c r="DB20" s="347"/>
      <c r="DC20" s="347"/>
      <c r="DD20" s="347"/>
      <c r="DE20" s="347"/>
      <c r="DF20" s="347"/>
      <c r="DG20" s="347"/>
      <c r="DH20" s="347"/>
      <c r="DI20" s="347"/>
      <c r="DJ20" s="347"/>
      <c r="DK20" s="347"/>
      <c r="DL20" s="347"/>
      <c r="DM20" s="347"/>
      <c r="DN20" s="347"/>
      <c r="DO20" s="347"/>
      <c r="DP20" s="347"/>
      <c r="DQ20" s="347"/>
      <c r="DR20" s="347"/>
      <c r="DS20" s="347"/>
      <c r="DT20" s="347"/>
      <c r="DU20" s="347"/>
      <c r="DV20" s="347"/>
      <c r="DW20" s="347"/>
      <c r="DX20" s="347"/>
      <c r="DY20" s="347"/>
      <c r="DZ20" s="347"/>
      <c r="EA20" s="347"/>
      <c r="EB20" s="347"/>
      <c r="EC20" s="347"/>
      <c r="ED20" s="347"/>
      <c r="EE20" s="347"/>
      <c r="EF20" s="347"/>
      <c r="EG20" s="347"/>
      <c r="EH20" s="347"/>
      <c r="EI20" s="347"/>
      <c r="EJ20" s="347"/>
      <c r="EK20" s="347"/>
      <c r="EL20" s="347"/>
      <c r="EM20" s="347"/>
      <c r="EN20" s="347"/>
      <c r="EO20" s="347"/>
      <c r="EP20" s="347"/>
      <c r="EQ20" s="347"/>
      <c r="ER20" s="347"/>
      <c r="ES20" s="347"/>
      <c r="ET20" s="347"/>
      <c r="EU20" s="347"/>
      <c r="EV20" s="347"/>
      <c r="EW20" s="347"/>
      <c r="EX20" s="347"/>
      <c r="EY20" s="347"/>
      <c r="EZ20" s="347"/>
      <c r="FA20" s="347"/>
      <c r="FB20" s="347"/>
      <c r="FC20" s="347"/>
      <c r="FD20" s="347"/>
      <c r="FE20" s="347"/>
      <c r="FF20" s="347"/>
      <c r="FG20" s="347"/>
      <c r="FH20" s="347"/>
      <c r="FI20" s="347"/>
      <c r="FJ20" s="347"/>
      <c r="FK20" s="347"/>
      <c r="FL20" s="347"/>
      <c r="FM20" s="347"/>
      <c r="FN20" s="347"/>
      <c r="FO20" s="347"/>
      <c r="FP20" s="347"/>
      <c r="FQ20" s="347"/>
      <c r="FR20" s="347"/>
      <c r="FS20" s="347"/>
      <c r="FT20" s="347"/>
      <c r="FU20" s="347"/>
      <c r="FV20" s="347"/>
      <c r="FW20" s="347"/>
      <c r="FX20" s="347"/>
      <c r="FY20" s="347"/>
      <c r="FZ20" s="347"/>
      <c r="GA20" s="347"/>
      <c r="GB20" s="347"/>
      <c r="GC20" s="347"/>
      <c r="GD20" s="347"/>
      <c r="GE20" s="347"/>
      <c r="GF20" s="347"/>
      <c r="GG20" s="347"/>
      <c r="GH20" s="347"/>
      <c r="GI20" s="347"/>
      <c r="GJ20" s="347"/>
      <c r="GK20" s="347"/>
      <c r="GL20" s="347"/>
      <c r="GM20" s="347"/>
      <c r="GN20" s="347"/>
      <c r="GO20" s="347"/>
      <c r="GP20" s="347"/>
      <c r="GQ20" s="347"/>
      <c r="GR20" s="347"/>
      <c r="GS20" s="347"/>
      <c r="GT20" s="347"/>
      <c r="GU20" s="347"/>
      <c r="GV20" s="347"/>
      <c r="GW20" s="347"/>
      <c r="GX20" s="347"/>
      <c r="GY20" s="347"/>
      <c r="GZ20" s="347"/>
      <c r="HA20" s="347"/>
      <c r="HB20" s="347"/>
      <c r="HC20" s="347"/>
      <c r="HD20" s="347"/>
      <c r="HE20" s="347"/>
      <c r="HF20" s="347"/>
      <c r="HG20" s="347"/>
      <c r="HH20" s="347"/>
      <c r="HI20" s="347"/>
      <c r="HJ20" s="347"/>
      <c r="HK20" s="347"/>
      <c r="HL20" s="347"/>
      <c r="HM20" s="347"/>
      <c r="HN20" s="347"/>
      <c r="HO20" s="347"/>
      <c r="HP20" s="347"/>
      <c r="HQ20" s="347"/>
      <c r="HR20" s="347"/>
      <c r="HS20" s="347"/>
      <c r="HT20" s="347"/>
      <c r="HU20" s="347"/>
      <c r="HV20" s="347"/>
      <c r="HW20" s="347"/>
      <c r="HX20" s="347"/>
      <c r="HY20" s="347"/>
      <c r="HZ20" s="347"/>
    </row>
    <row r="21" spans="1:234" s="93" customFormat="1" x14ac:dyDescent="0.25">
      <c r="A21" s="57" t="str">
        <f>IF(COUNTBLANK(B21)=1," ",COUNTA($B$12:B21))</f>
        <v xml:space="preserve"> </v>
      </c>
      <c r="B21" s="366"/>
      <c r="C21" s="54" t="s">
        <v>333</v>
      </c>
      <c r="D21" s="743" t="s">
        <v>32</v>
      </c>
      <c r="E21" s="10">
        <v>670</v>
      </c>
      <c r="F21" s="620">
        <v>10</v>
      </c>
      <c r="G21" s="619"/>
      <c r="H21" s="619"/>
      <c r="I21" s="136"/>
      <c r="J21" s="12"/>
      <c r="K21" s="136"/>
      <c r="L21" s="278"/>
      <c r="M21" s="279"/>
      <c r="N21" s="272"/>
      <c r="O21" s="272"/>
      <c r="P21" s="272"/>
      <c r="Q21" s="433"/>
    </row>
    <row r="22" spans="1:234" s="93" customFormat="1" x14ac:dyDescent="0.25">
      <c r="A22" s="57" t="str">
        <f>IF(COUNTBLANK(B22)=1," ",COUNTA($B$12:B22))</f>
        <v xml:space="preserve"> </v>
      </c>
      <c r="B22" s="366"/>
      <c r="C22" s="54" t="s">
        <v>381</v>
      </c>
      <c r="D22" s="743" t="s">
        <v>23</v>
      </c>
      <c r="E22" s="10">
        <v>309</v>
      </c>
      <c r="F22" s="620">
        <v>4.6100000000000003</v>
      </c>
      <c r="G22" s="377"/>
      <c r="H22" s="377"/>
      <c r="I22" s="312"/>
      <c r="J22" s="312"/>
      <c r="K22" s="312"/>
      <c r="L22" s="278"/>
      <c r="M22" s="279"/>
      <c r="N22" s="272"/>
      <c r="O22" s="272"/>
      <c r="P22" s="272"/>
      <c r="Q22" s="433"/>
    </row>
    <row r="23" spans="1:234" s="94" customFormat="1" x14ac:dyDescent="0.25">
      <c r="A23" s="57">
        <f>IF(COUNTBLANK(B23)=1," ",COUNTA($B$12:B23))</f>
        <v>1</v>
      </c>
      <c r="B23" s="206" t="s">
        <v>14</v>
      </c>
      <c r="C23" s="54" t="s">
        <v>382</v>
      </c>
      <c r="D23" s="743" t="s">
        <v>17</v>
      </c>
      <c r="E23" s="10">
        <v>188</v>
      </c>
      <c r="F23" s="211"/>
      <c r="G23" s="60"/>
      <c r="H23" s="271"/>
      <c r="I23" s="60"/>
      <c r="J23" s="15"/>
      <c r="K23" s="60"/>
      <c r="L23" s="278"/>
      <c r="M23" s="279"/>
      <c r="N23" s="272"/>
      <c r="O23" s="272"/>
      <c r="P23" s="272"/>
      <c r="Q23" s="433"/>
    </row>
    <row r="24" spans="1:234" s="94" customFormat="1" x14ac:dyDescent="0.25">
      <c r="A24" s="57" t="str">
        <f>IF(COUNTBLANK(B24)=1," ",COUNTA($B$12:B24))</f>
        <v xml:space="preserve"> </v>
      </c>
      <c r="B24" s="210"/>
      <c r="C24" s="327" t="s">
        <v>21</v>
      </c>
      <c r="D24" s="207" t="s">
        <v>32</v>
      </c>
      <c r="E24" s="211">
        <f>E23*F24</f>
        <v>1128</v>
      </c>
      <c r="F24" s="211">
        <v>6</v>
      </c>
      <c r="G24" s="60"/>
      <c r="H24" s="60"/>
      <c r="I24" s="60"/>
      <c r="J24" s="60"/>
      <c r="K24" s="60"/>
      <c r="L24" s="278"/>
      <c r="M24" s="279"/>
      <c r="N24" s="272"/>
      <c r="O24" s="272"/>
      <c r="P24" s="272"/>
      <c r="Q24" s="433"/>
    </row>
    <row r="25" spans="1:234" s="94" customFormat="1" x14ac:dyDescent="0.25">
      <c r="A25" s="57" t="str">
        <f>IF(COUNTBLANK(B25)=1," ",COUNTA($B$12:B25))</f>
        <v xml:space="preserve"> </v>
      </c>
      <c r="B25" s="210"/>
      <c r="C25" s="448" t="s">
        <v>441</v>
      </c>
      <c r="D25" s="204" t="s">
        <v>17</v>
      </c>
      <c r="E25" s="211">
        <f>E23*F25</f>
        <v>206.8</v>
      </c>
      <c r="F25" s="211">
        <v>1.1000000000000001</v>
      </c>
      <c r="G25" s="60"/>
      <c r="H25" s="60"/>
      <c r="I25" s="60"/>
      <c r="J25" s="60"/>
      <c r="K25" s="60"/>
      <c r="L25" s="278"/>
      <c r="M25" s="279"/>
      <c r="N25" s="272"/>
      <c r="O25" s="272"/>
      <c r="P25" s="272"/>
      <c r="Q25" s="433"/>
    </row>
    <row r="26" spans="1:234" s="723" customFormat="1" x14ac:dyDescent="0.25">
      <c r="A26" s="57">
        <f>IF(COUNTBLANK(B26)=1," ",COUNTA($B$12:B26))</f>
        <v>2</v>
      </c>
      <c r="B26" s="206" t="s">
        <v>14</v>
      </c>
      <c r="C26" s="54" t="s">
        <v>337</v>
      </c>
      <c r="D26" s="743" t="s">
        <v>17</v>
      </c>
      <c r="E26" s="10">
        <v>329</v>
      </c>
      <c r="F26" s="619"/>
      <c r="G26" s="312"/>
      <c r="H26" s="271"/>
      <c r="I26" s="312"/>
      <c r="J26" s="312"/>
      <c r="K26" s="312"/>
      <c r="L26" s="278"/>
      <c r="M26" s="279"/>
      <c r="N26" s="272"/>
      <c r="O26" s="272"/>
      <c r="P26" s="272"/>
      <c r="Q26" s="433"/>
    </row>
    <row r="27" spans="1:234" s="723" customFormat="1" x14ac:dyDescent="0.25">
      <c r="A27" s="57" t="str">
        <f>IF(COUNTBLANK(B27)=1," ",COUNTA($B$12:B27))</f>
        <v xml:space="preserve"> </v>
      </c>
      <c r="B27" s="729"/>
      <c r="C27" s="679" t="s">
        <v>383</v>
      </c>
      <c r="D27" s="743"/>
      <c r="E27" s="10"/>
      <c r="F27" s="619"/>
      <c r="G27" s="619"/>
      <c r="H27" s="619"/>
      <c r="I27" s="312"/>
      <c r="J27" s="312"/>
      <c r="K27" s="312"/>
      <c r="L27" s="278"/>
      <c r="M27" s="279"/>
      <c r="N27" s="272"/>
      <c r="O27" s="272"/>
      <c r="P27" s="272"/>
      <c r="Q27" s="433"/>
    </row>
    <row r="28" spans="1:234" s="162" customFormat="1" x14ac:dyDescent="0.25">
      <c r="A28" s="57">
        <f>IF(COUNTBLANK(B28)=1," ",COUNTA($B$12:B28))</f>
        <v>3</v>
      </c>
      <c r="B28" s="206" t="s">
        <v>14</v>
      </c>
      <c r="C28" s="54" t="s">
        <v>384</v>
      </c>
      <c r="D28" s="743" t="s">
        <v>16</v>
      </c>
      <c r="E28" s="10">
        <f>6.24*67</f>
        <v>418.08000000000004</v>
      </c>
      <c r="F28" s="619"/>
      <c r="G28" s="312"/>
      <c r="H28" s="271"/>
      <c r="I28" s="312"/>
      <c r="J28" s="312"/>
      <c r="K28" s="312"/>
      <c r="L28" s="278"/>
      <c r="M28" s="279"/>
      <c r="N28" s="272"/>
      <c r="O28" s="272"/>
      <c r="P28" s="272"/>
      <c r="Q28" s="433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</row>
    <row r="29" spans="1:234" s="162" customFormat="1" x14ac:dyDescent="0.25">
      <c r="A29" s="57">
        <f>IF(COUNTBLANK(B29)=1," ",COUNTA($B$12:B29))</f>
        <v>4</v>
      </c>
      <c r="B29" s="206" t="s">
        <v>14</v>
      </c>
      <c r="C29" s="54" t="s">
        <v>385</v>
      </c>
      <c r="D29" s="743" t="s">
        <v>16</v>
      </c>
      <c r="E29" s="10">
        <v>418</v>
      </c>
      <c r="F29" s="619"/>
      <c r="G29" s="312"/>
      <c r="H29" s="271"/>
      <c r="I29" s="312"/>
      <c r="J29" s="312"/>
      <c r="K29" s="312"/>
      <c r="L29" s="278"/>
      <c r="M29" s="279"/>
      <c r="N29" s="272"/>
      <c r="O29" s="272"/>
      <c r="P29" s="272"/>
      <c r="Q29" s="433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</row>
    <row r="30" spans="1:234" s="162" customFormat="1" ht="22.5" x14ac:dyDescent="0.25">
      <c r="A30" s="57" t="str">
        <f>IF(COUNTBLANK(B30)=1," ",COUNTA($B$12:B30))</f>
        <v xml:space="preserve"> </v>
      </c>
      <c r="B30" s="729"/>
      <c r="C30" s="54" t="s">
        <v>386</v>
      </c>
      <c r="D30" s="743" t="s">
        <v>32</v>
      </c>
      <c r="E30" s="10">
        <v>670</v>
      </c>
      <c r="F30" s="620"/>
      <c r="G30" s="621"/>
      <c r="H30" s="622"/>
      <c r="I30" s="60"/>
      <c r="J30" s="60"/>
      <c r="K30" s="60"/>
      <c r="L30" s="278"/>
      <c r="M30" s="279"/>
      <c r="N30" s="272"/>
      <c r="O30" s="272"/>
      <c r="P30" s="272"/>
      <c r="Q30" s="433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</row>
    <row r="31" spans="1:234" s="162" customFormat="1" x14ac:dyDescent="0.25">
      <c r="A31" s="57" t="str">
        <f>IF(COUNTBLANK(B31)=1," ",COUNTA($B$12:B31))</f>
        <v xml:space="preserve"> </v>
      </c>
      <c r="B31" s="729"/>
      <c r="C31" s="54" t="s">
        <v>387</v>
      </c>
      <c r="D31" s="743" t="s">
        <v>16</v>
      </c>
      <c r="E31" s="10">
        <v>418</v>
      </c>
      <c r="F31" s="619"/>
      <c r="G31" s="621"/>
      <c r="H31" s="622"/>
      <c r="I31" s="136"/>
      <c r="J31" s="136"/>
      <c r="K31" s="136"/>
      <c r="L31" s="278"/>
      <c r="M31" s="279"/>
      <c r="N31" s="272"/>
      <c r="O31" s="272"/>
      <c r="P31" s="272"/>
      <c r="Q31" s="433"/>
    </row>
    <row r="32" spans="1:234" s="162" customFormat="1" x14ac:dyDescent="0.25">
      <c r="A32" s="57">
        <f>IF(COUNTBLANK(B32)=1," ",COUNTA($B$12:B32))</f>
        <v>5</v>
      </c>
      <c r="B32" s="206" t="s">
        <v>14</v>
      </c>
      <c r="C32" s="54" t="s">
        <v>388</v>
      </c>
      <c r="D32" s="743" t="s">
        <v>16</v>
      </c>
      <c r="E32" s="10">
        <v>418</v>
      </c>
      <c r="F32" s="619"/>
      <c r="G32" s="10"/>
      <c r="H32" s="271"/>
      <c r="I32" s="10"/>
      <c r="J32" s="12"/>
      <c r="K32" s="10"/>
      <c r="L32" s="278"/>
      <c r="M32" s="279"/>
      <c r="N32" s="272"/>
      <c r="O32" s="272"/>
      <c r="P32" s="272"/>
      <c r="Q32" s="433"/>
      <c r="R32" s="739"/>
      <c r="S32" s="739"/>
      <c r="T32" s="739"/>
      <c r="U32" s="739"/>
      <c r="V32" s="739"/>
      <c r="W32" s="739"/>
      <c r="X32" s="739"/>
      <c r="Y32" s="739"/>
      <c r="Z32" s="739"/>
      <c r="AA32" s="739"/>
      <c r="AB32" s="739"/>
      <c r="AC32" s="739"/>
      <c r="AD32" s="739"/>
      <c r="AE32" s="739"/>
      <c r="AF32" s="739"/>
      <c r="AG32" s="739"/>
      <c r="AH32" s="739"/>
      <c r="AI32" s="739"/>
      <c r="AJ32" s="739"/>
      <c r="AK32" s="739"/>
      <c r="AL32" s="739"/>
      <c r="AM32" s="739"/>
      <c r="AN32" s="739"/>
      <c r="AO32" s="739"/>
      <c r="AP32" s="739"/>
      <c r="AQ32" s="739"/>
      <c r="AR32" s="739"/>
      <c r="AS32" s="739"/>
      <c r="AT32" s="739"/>
      <c r="AU32" s="739"/>
      <c r="AV32" s="739"/>
      <c r="AW32" s="739"/>
      <c r="AX32" s="739"/>
      <c r="AY32" s="739"/>
      <c r="AZ32" s="739"/>
      <c r="BA32" s="739"/>
      <c r="BB32" s="739"/>
      <c r="BC32" s="739"/>
      <c r="BD32" s="739"/>
      <c r="BE32" s="739"/>
      <c r="BF32" s="739"/>
      <c r="BG32" s="739"/>
      <c r="BH32" s="739"/>
      <c r="BI32" s="739"/>
      <c r="BJ32" s="739"/>
      <c r="BK32" s="739"/>
      <c r="BL32" s="739"/>
      <c r="BM32" s="739"/>
      <c r="BN32" s="739"/>
      <c r="BO32" s="739"/>
      <c r="BP32" s="739"/>
      <c r="BQ32" s="739"/>
      <c r="BR32" s="739"/>
      <c r="BS32" s="739"/>
      <c r="BT32" s="739"/>
      <c r="BU32" s="739"/>
      <c r="BV32" s="739"/>
      <c r="BW32" s="739"/>
      <c r="BX32" s="739"/>
      <c r="BY32" s="739"/>
      <c r="BZ32" s="739"/>
      <c r="CA32" s="739"/>
      <c r="CB32" s="739"/>
      <c r="CC32" s="739"/>
      <c r="CD32" s="739"/>
      <c r="CE32" s="739"/>
      <c r="CF32" s="739"/>
      <c r="CG32" s="739"/>
      <c r="CH32" s="739"/>
      <c r="CI32" s="739"/>
      <c r="CJ32" s="739"/>
      <c r="CK32" s="739"/>
      <c r="CL32" s="739"/>
      <c r="CM32" s="739"/>
      <c r="CN32" s="739"/>
      <c r="CO32" s="739"/>
      <c r="CP32" s="739"/>
      <c r="CQ32" s="739"/>
      <c r="CR32" s="739"/>
      <c r="CS32" s="739"/>
      <c r="CT32" s="739"/>
      <c r="CU32" s="739"/>
      <c r="CV32" s="739"/>
      <c r="CW32" s="739"/>
      <c r="CX32" s="739"/>
      <c r="CY32" s="739"/>
      <c r="CZ32" s="739"/>
      <c r="DA32" s="739"/>
      <c r="DB32" s="739"/>
      <c r="DC32" s="739"/>
      <c r="DD32" s="739"/>
      <c r="DE32" s="739"/>
      <c r="DF32" s="739"/>
      <c r="DG32" s="739"/>
      <c r="DH32" s="739"/>
      <c r="DI32" s="739"/>
      <c r="DJ32" s="739"/>
      <c r="DK32" s="739"/>
      <c r="DL32" s="739"/>
      <c r="DM32" s="739"/>
      <c r="DN32" s="739"/>
      <c r="DO32" s="739"/>
      <c r="DP32" s="739"/>
      <c r="DQ32" s="739"/>
      <c r="DR32" s="739"/>
      <c r="DS32" s="739"/>
      <c r="DT32" s="739"/>
      <c r="DU32" s="739"/>
      <c r="DV32" s="739"/>
      <c r="DW32" s="739"/>
      <c r="DX32" s="739"/>
      <c r="DY32" s="739"/>
      <c r="DZ32" s="739"/>
      <c r="EA32" s="739"/>
      <c r="EB32" s="739"/>
      <c r="EC32" s="739"/>
      <c r="ED32" s="739"/>
      <c r="EE32" s="739"/>
      <c r="EF32" s="739"/>
      <c r="EG32" s="739"/>
      <c r="EH32" s="739"/>
      <c r="EI32" s="739"/>
      <c r="EJ32" s="739"/>
      <c r="EK32" s="739"/>
      <c r="EL32" s="739"/>
      <c r="EM32" s="739"/>
      <c r="EN32" s="739"/>
      <c r="EO32" s="739"/>
      <c r="EP32" s="739"/>
      <c r="EQ32" s="739"/>
      <c r="ER32" s="739"/>
      <c r="ES32" s="739"/>
      <c r="ET32" s="739"/>
      <c r="EU32" s="739"/>
      <c r="EV32" s="739"/>
      <c r="EW32" s="739"/>
      <c r="EX32" s="739"/>
      <c r="EY32" s="739"/>
      <c r="EZ32" s="739"/>
      <c r="FA32" s="739"/>
      <c r="FB32" s="739"/>
      <c r="FC32" s="739"/>
      <c r="FD32" s="739"/>
      <c r="FE32" s="739"/>
      <c r="FF32" s="739"/>
      <c r="FG32" s="739"/>
      <c r="FH32" s="739"/>
      <c r="FI32" s="739"/>
      <c r="FJ32" s="739"/>
      <c r="FK32" s="739"/>
      <c r="FL32" s="739"/>
      <c r="FM32" s="739"/>
      <c r="FN32" s="739"/>
      <c r="FO32" s="739"/>
      <c r="FP32" s="739"/>
      <c r="FQ32" s="739"/>
      <c r="FR32" s="739"/>
      <c r="FS32" s="739"/>
      <c r="FT32" s="739"/>
      <c r="FU32" s="739"/>
      <c r="FV32" s="739"/>
      <c r="FW32" s="739"/>
      <c r="FX32" s="739"/>
      <c r="FY32" s="739"/>
      <c r="FZ32" s="739"/>
      <c r="GA32" s="739"/>
      <c r="GB32" s="739"/>
      <c r="GC32" s="739"/>
      <c r="GD32" s="739"/>
      <c r="GE32" s="739"/>
      <c r="GF32" s="739"/>
      <c r="GG32" s="739"/>
      <c r="GH32" s="739"/>
      <c r="GI32" s="739"/>
      <c r="GJ32" s="739"/>
      <c r="GK32" s="739"/>
      <c r="GL32" s="739"/>
      <c r="GM32" s="739"/>
      <c r="GN32" s="739"/>
      <c r="GO32" s="739"/>
      <c r="GP32" s="739"/>
      <c r="GQ32" s="739"/>
      <c r="GR32" s="739"/>
      <c r="GS32" s="739"/>
      <c r="GT32" s="739"/>
      <c r="GU32" s="739"/>
      <c r="GV32" s="739"/>
      <c r="GW32" s="739"/>
      <c r="GX32" s="739"/>
      <c r="GY32" s="739"/>
      <c r="GZ32" s="739"/>
      <c r="HA32" s="739"/>
      <c r="HB32" s="739"/>
      <c r="HC32" s="739"/>
      <c r="HD32" s="739"/>
      <c r="HE32" s="739"/>
      <c r="HF32" s="739"/>
      <c r="HG32" s="739"/>
      <c r="HH32" s="739"/>
      <c r="HI32" s="739"/>
      <c r="HJ32" s="739"/>
      <c r="HK32" s="739"/>
      <c r="HL32" s="739"/>
      <c r="HM32" s="739"/>
      <c r="HN32" s="739"/>
      <c r="HO32" s="739"/>
      <c r="HP32" s="739"/>
      <c r="HQ32" s="739"/>
      <c r="HR32" s="739"/>
      <c r="HS32" s="739"/>
      <c r="HT32" s="739"/>
      <c r="HU32" s="739"/>
      <c r="HV32" s="739"/>
      <c r="HW32" s="739"/>
      <c r="HX32" s="739"/>
      <c r="HY32" s="739"/>
      <c r="HZ32" s="739"/>
    </row>
    <row r="33" spans="1:234" s="162" customFormat="1" x14ac:dyDescent="0.25">
      <c r="A33" s="57">
        <f>IF(COUNTBLANK(B33)=1," ",COUNTA($B$12:B33))</f>
        <v>6</v>
      </c>
      <c r="B33" s="206" t="s">
        <v>14</v>
      </c>
      <c r="C33" s="54" t="s">
        <v>389</v>
      </c>
      <c r="D33" s="743" t="s">
        <v>16</v>
      </c>
      <c r="E33" s="10">
        <v>418</v>
      </c>
      <c r="F33" s="619"/>
      <c r="G33" s="10"/>
      <c r="H33" s="271"/>
      <c r="I33" s="10"/>
      <c r="J33" s="12"/>
      <c r="K33" s="10"/>
      <c r="L33" s="278"/>
      <c r="M33" s="279"/>
      <c r="N33" s="272"/>
      <c r="O33" s="272"/>
      <c r="P33" s="272"/>
      <c r="Q33" s="433"/>
      <c r="R33" s="739"/>
      <c r="S33" s="739"/>
      <c r="T33" s="739"/>
      <c r="U33" s="739"/>
      <c r="V33" s="739"/>
      <c r="W33" s="739"/>
      <c r="X33" s="739"/>
      <c r="Y33" s="739"/>
      <c r="Z33" s="739"/>
      <c r="AA33" s="739"/>
      <c r="AB33" s="739"/>
      <c r="AC33" s="739"/>
      <c r="AD33" s="739"/>
      <c r="AE33" s="739"/>
      <c r="AF33" s="739"/>
      <c r="AG33" s="739"/>
      <c r="AH33" s="739"/>
      <c r="AI33" s="739"/>
      <c r="AJ33" s="739"/>
      <c r="AK33" s="739"/>
      <c r="AL33" s="739"/>
      <c r="AM33" s="739"/>
      <c r="AN33" s="739"/>
      <c r="AO33" s="739"/>
      <c r="AP33" s="739"/>
      <c r="AQ33" s="739"/>
      <c r="AR33" s="739"/>
      <c r="AS33" s="739"/>
      <c r="AT33" s="739"/>
      <c r="AU33" s="739"/>
      <c r="AV33" s="739"/>
      <c r="AW33" s="739"/>
      <c r="AX33" s="739"/>
      <c r="AY33" s="739"/>
      <c r="AZ33" s="739"/>
      <c r="BA33" s="739"/>
      <c r="BB33" s="739"/>
      <c r="BC33" s="739"/>
      <c r="BD33" s="739"/>
      <c r="BE33" s="739"/>
      <c r="BF33" s="739"/>
      <c r="BG33" s="739"/>
      <c r="BH33" s="739"/>
      <c r="BI33" s="739"/>
      <c r="BJ33" s="739"/>
      <c r="BK33" s="739"/>
      <c r="BL33" s="739"/>
      <c r="BM33" s="739"/>
      <c r="BN33" s="739"/>
      <c r="BO33" s="739"/>
      <c r="BP33" s="739"/>
      <c r="BQ33" s="739"/>
      <c r="BR33" s="739"/>
      <c r="BS33" s="739"/>
      <c r="BT33" s="739"/>
      <c r="BU33" s="739"/>
      <c r="BV33" s="739"/>
      <c r="BW33" s="739"/>
      <c r="BX33" s="739"/>
      <c r="BY33" s="739"/>
      <c r="BZ33" s="739"/>
      <c r="CA33" s="739"/>
      <c r="CB33" s="739"/>
      <c r="CC33" s="739"/>
      <c r="CD33" s="739"/>
      <c r="CE33" s="739"/>
      <c r="CF33" s="739"/>
      <c r="CG33" s="739"/>
      <c r="CH33" s="739"/>
      <c r="CI33" s="739"/>
      <c r="CJ33" s="739"/>
      <c r="CK33" s="739"/>
      <c r="CL33" s="739"/>
      <c r="CM33" s="739"/>
      <c r="CN33" s="739"/>
      <c r="CO33" s="739"/>
      <c r="CP33" s="739"/>
      <c r="CQ33" s="739"/>
      <c r="CR33" s="739"/>
      <c r="CS33" s="739"/>
      <c r="CT33" s="739"/>
      <c r="CU33" s="739"/>
      <c r="CV33" s="739"/>
      <c r="CW33" s="739"/>
      <c r="CX33" s="739"/>
      <c r="CY33" s="739"/>
      <c r="CZ33" s="739"/>
      <c r="DA33" s="739"/>
      <c r="DB33" s="739"/>
      <c r="DC33" s="739"/>
      <c r="DD33" s="739"/>
      <c r="DE33" s="739"/>
      <c r="DF33" s="739"/>
      <c r="DG33" s="739"/>
      <c r="DH33" s="739"/>
      <c r="DI33" s="739"/>
      <c r="DJ33" s="739"/>
      <c r="DK33" s="739"/>
      <c r="DL33" s="739"/>
      <c r="DM33" s="739"/>
      <c r="DN33" s="739"/>
      <c r="DO33" s="739"/>
      <c r="DP33" s="739"/>
      <c r="DQ33" s="739"/>
      <c r="DR33" s="739"/>
      <c r="DS33" s="739"/>
      <c r="DT33" s="739"/>
      <c r="DU33" s="739"/>
      <c r="DV33" s="739"/>
      <c r="DW33" s="739"/>
      <c r="DX33" s="739"/>
      <c r="DY33" s="739"/>
      <c r="DZ33" s="739"/>
      <c r="EA33" s="739"/>
      <c r="EB33" s="739"/>
      <c r="EC33" s="739"/>
      <c r="ED33" s="739"/>
      <c r="EE33" s="739"/>
      <c r="EF33" s="739"/>
      <c r="EG33" s="739"/>
      <c r="EH33" s="739"/>
      <c r="EI33" s="739"/>
      <c r="EJ33" s="739"/>
      <c r="EK33" s="739"/>
      <c r="EL33" s="739"/>
      <c r="EM33" s="739"/>
      <c r="EN33" s="739"/>
      <c r="EO33" s="739"/>
      <c r="EP33" s="739"/>
      <c r="EQ33" s="739"/>
      <c r="ER33" s="739"/>
      <c r="ES33" s="739"/>
      <c r="ET33" s="739"/>
      <c r="EU33" s="739"/>
      <c r="EV33" s="739"/>
      <c r="EW33" s="739"/>
      <c r="EX33" s="739"/>
      <c r="EY33" s="739"/>
      <c r="EZ33" s="739"/>
      <c r="FA33" s="739"/>
      <c r="FB33" s="739"/>
      <c r="FC33" s="739"/>
      <c r="FD33" s="739"/>
      <c r="FE33" s="739"/>
      <c r="FF33" s="739"/>
      <c r="FG33" s="739"/>
      <c r="FH33" s="739"/>
      <c r="FI33" s="739"/>
      <c r="FJ33" s="739"/>
      <c r="FK33" s="739"/>
      <c r="FL33" s="739"/>
      <c r="FM33" s="739"/>
      <c r="FN33" s="739"/>
      <c r="FO33" s="739"/>
      <c r="FP33" s="739"/>
      <c r="FQ33" s="739"/>
      <c r="FR33" s="739"/>
      <c r="FS33" s="739"/>
      <c r="FT33" s="739"/>
      <c r="FU33" s="739"/>
      <c r="FV33" s="739"/>
      <c r="FW33" s="739"/>
      <c r="FX33" s="739"/>
      <c r="FY33" s="739"/>
      <c r="FZ33" s="739"/>
      <c r="GA33" s="739"/>
      <c r="GB33" s="739"/>
      <c r="GC33" s="739"/>
      <c r="GD33" s="739"/>
      <c r="GE33" s="739"/>
      <c r="GF33" s="739"/>
      <c r="GG33" s="739"/>
      <c r="GH33" s="739"/>
      <c r="GI33" s="739"/>
      <c r="GJ33" s="739"/>
      <c r="GK33" s="739"/>
      <c r="GL33" s="739"/>
      <c r="GM33" s="739"/>
      <c r="GN33" s="739"/>
      <c r="GO33" s="739"/>
      <c r="GP33" s="739"/>
      <c r="GQ33" s="739"/>
      <c r="GR33" s="739"/>
      <c r="GS33" s="739"/>
      <c r="GT33" s="739"/>
      <c r="GU33" s="739"/>
      <c r="GV33" s="739"/>
      <c r="GW33" s="739"/>
      <c r="GX33" s="739"/>
      <c r="GY33" s="739"/>
      <c r="GZ33" s="739"/>
      <c r="HA33" s="739"/>
      <c r="HB33" s="739"/>
      <c r="HC33" s="739"/>
      <c r="HD33" s="739"/>
      <c r="HE33" s="739"/>
      <c r="HF33" s="739"/>
      <c r="HG33" s="739"/>
      <c r="HH33" s="739"/>
      <c r="HI33" s="739"/>
      <c r="HJ33" s="739"/>
      <c r="HK33" s="739"/>
      <c r="HL33" s="739"/>
      <c r="HM33" s="739"/>
      <c r="HN33" s="739"/>
      <c r="HO33" s="739"/>
      <c r="HP33" s="739"/>
      <c r="HQ33" s="739"/>
      <c r="HR33" s="739"/>
      <c r="HS33" s="739"/>
      <c r="HT33" s="739"/>
      <c r="HU33" s="739"/>
      <c r="HV33" s="739"/>
      <c r="HW33" s="739"/>
      <c r="HX33" s="739"/>
      <c r="HY33" s="739"/>
      <c r="HZ33" s="739"/>
    </row>
    <row r="34" spans="1:234" s="162" customFormat="1" x14ac:dyDescent="0.25">
      <c r="A34" s="57">
        <f>IF(COUNTBLANK(B34)=1," ",COUNTA($B$12:B34))</f>
        <v>7</v>
      </c>
      <c r="B34" s="206" t="s">
        <v>14</v>
      </c>
      <c r="C34" s="54" t="s">
        <v>390</v>
      </c>
      <c r="D34" s="743" t="s">
        <v>16</v>
      </c>
      <c r="E34" s="10">
        <v>836</v>
      </c>
      <c r="F34" s="619"/>
      <c r="G34" s="136"/>
      <c r="H34" s="271"/>
      <c r="I34" s="436"/>
      <c r="J34" s="306"/>
      <c r="K34" s="136"/>
      <c r="L34" s="278"/>
      <c r="M34" s="279"/>
      <c r="N34" s="272"/>
      <c r="O34" s="272"/>
      <c r="P34" s="272"/>
      <c r="Q34" s="433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  <c r="AM34" s="739"/>
      <c r="AN34" s="739"/>
      <c r="AO34" s="739"/>
      <c r="AP34" s="739"/>
      <c r="AQ34" s="739"/>
      <c r="AR34" s="739"/>
      <c r="AS34" s="739"/>
      <c r="AT34" s="739"/>
      <c r="AU34" s="739"/>
      <c r="AV34" s="739"/>
      <c r="AW34" s="739"/>
      <c r="AX34" s="739"/>
      <c r="AY34" s="739"/>
      <c r="AZ34" s="739"/>
      <c r="BA34" s="739"/>
      <c r="BB34" s="739"/>
      <c r="BC34" s="739"/>
      <c r="BD34" s="739"/>
      <c r="BE34" s="739"/>
      <c r="BF34" s="739"/>
      <c r="BG34" s="739"/>
      <c r="BH34" s="739"/>
      <c r="BI34" s="739"/>
      <c r="BJ34" s="739"/>
      <c r="BK34" s="739"/>
      <c r="BL34" s="739"/>
      <c r="BM34" s="739"/>
      <c r="BN34" s="739"/>
      <c r="BO34" s="739"/>
      <c r="BP34" s="739"/>
      <c r="BQ34" s="739"/>
      <c r="BR34" s="739"/>
      <c r="BS34" s="739"/>
      <c r="BT34" s="739"/>
      <c r="BU34" s="739"/>
      <c r="BV34" s="739"/>
      <c r="BW34" s="739"/>
      <c r="BX34" s="739"/>
      <c r="BY34" s="739"/>
      <c r="BZ34" s="739"/>
      <c r="CA34" s="739"/>
      <c r="CB34" s="739"/>
      <c r="CC34" s="739"/>
      <c r="CD34" s="739"/>
      <c r="CE34" s="739"/>
      <c r="CF34" s="739"/>
      <c r="CG34" s="739"/>
      <c r="CH34" s="739"/>
      <c r="CI34" s="739"/>
      <c r="CJ34" s="739"/>
      <c r="CK34" s="739"/>
      <c r="CL34" s="739"/>
      <c r="CM34" s="739"/>
      <c r="CN34" s="739"/>
      <c r="CO34" s="739"/>
      <c r="CP34" s="739"/>
      <c r="CQ34" s="739"/>
      <c r="CR34" s="739"/>
      <c r="CS34" s="739"/>
      <c r="CT34" s="739"/>
      <c r="CU34" s="739"/>
      <c r="CV34" s="739"/>
      <c r="CW34" s="739"/>
      <c r="CX34" s="739"/>
      <c r="CY34" s="739"/>
      <c r="CZ34" s="739"/>
      <c r="DA34" s="739"/>
      <c r="DB34" s="739"/>
      <c r="DC34" s="739"/>
      <c r="DD34" s="739"/>
      <c r="DE34" s="739"/>
      <c r="DF34" s="739"/>
      <c r="DG34" s="739"/>
      <c r="DH34" s="739"/>
      <c r="DI34" s="739"/>
      <c r="DJ34" s="739"/>
      <c r="DK34" s="739"/>
      <c r="DL34" s="739"/>
      <c r="DM34" s="739"/>
      <c r="DN34" s="739"/>
      <c r="DO34" s="739"/>
      <c r="DP34" s="739"/>
      <c r="DQ34" s="739"/>
      <c r="DR34" s="739"/>
      <c r="DS34" s="739"/>
      <c r="DT34" s="739"/>
      <c r="DU34" s="739"/>
      <c r="DV34" s="739"/>
      <c r="DW34" s="739"/>
      <c r="DX34" s="739"/>
      <c r="DY34" s="739"/>
      <c r="DZ34" s="739"/>
      <c r="EA34" s="739"/>
      <c r="EB34" s="739"/>
      <c r="EC34" s="739"/>
      <c r="ED34" s="739"/>
      <c r="EE34" s="739"/>
      <c r="EF34" s="739"/>
      <c r="EG34" s="739"/>
      <c r="EH34" s="739"/>
      <c r="EI34" s="739"/>
      <c r="EJ34" s="739"/>
      <c r="EK34" s="739"/>
      <c r="EL34" s="739"/>
      <c r="EM34" s="739"/>
      <c r="EN34" s="739"/>
      <c r="EO34" s="739"/>
      <c r="EP34" s="739"/>
      <c r="EQ34" s="739"/>
      <c r="ER34" s="739"/>
      <c r="ES34" s="739"/>
      <c r="ET34" s="739"/>
      <c r="EU34" s="739"/>
      <c r="EV34" s="739"/>
      <c r="EW34" s="739"/>
      <c r="EX34" s="739"/>
      <c r="EY34" s="739"/>
      <c r="EZ34" s="739"/>
      <c r="FA34" s="739"/>
      <c r="FB34" s="739"/>
      <c r="FC34" s="739"/>
      <c r="FD34" s="739"/>
      <c r="FE34" s="739"/>
      <c r="FF34" s="739"/>
      <c r="FG34" s="739"/>
      <c r="FH34" s="739"/>
      <c r="FI34" s="739"/>
      <c r="FJ34" s="739"/>
      <c r="FK34" s="739"/>
      <c r="FL34" s="739"/>
      <c r="FM34" s="739"/>
      <c r="FN34" s="739"/>
      <c r="FO34" s="739"/>
      <c r="FP34" s="739"/>
      <c r="FQ34" s="739"/>
      <c r="FR34" s="739"/>
      <c r="FS34" s="739"/>
      <c r="FT34" s="739"/>
      <c r="FU34" s="739"/>
      <c r="FV34" s="739"/>
      <c r="FW34" s="739"/>
      <c r="FX34" s="739"/>
      <c r="FY34" s="739"/>
      <c r="FZ34" s="739"/>
      <c r="GA34" s="739"/>
      <c r="GB34" s="739"/>
      <c r="GC34" s="739"/>
      <c r="GD34" s="739"/>
      <c r="GE34" s="739"/>
      <c r="GF34" s="739"/>
      <c r="GG34" s="739"/>
      <c r="GH34" s="739"/>
      <c r="GI34" s="739"/>
      <c r="GJ34" s="739"/>
      <c r="GK34" s="739"/>
      <c r="GL34" s="739"/>
      <c r="GM34" s="739"/>
      <c r="GN34" s="739"/>
      <c r="GO34" s="739"/>
      <c r="GP34" s="739"/>
      <c r="GQ34" s="739"/>
      <c r="GR34" s="739"/>
      <c r="GS34" s="739"/>
      <c r="GT34" s="739"/>
      <c r="GU34" s="739"/>
      <c r="GV34" s="739"/>
      <c r="GW34" s="739"/>
      <c r="GX34" s="739"/>
      <c r="GY34" s="739"/>
      <c r="GZ34" s="739"/>
      <c r="HA34" s="739"/>
      <c r="HB34" s="739"/>
      <c r="HC34" s="739"/>
      <c r="HD34" s="739"/>
      <c r="HE34" s="739"/>
      <c r="HF34" s="739"/>
      <c r="HG34" s="739"/>
      <c r="HH34" s="739"/>
      <c r="HI34" s="739"/>
      <c r="HJ34" s="739"/>
      <c r="HK34" s="739"/>
      <c r="HL34" s="739"/>
      <c r="HM34" s="739"/>
      <c r="HN34" s="739"/>
      <c r="HO34" s="739"/>
      <c r="HP34" s="739"/>
      <c r="HQ34" s="739"/>
      <c r="HR34" s="739"/>
      <c r="HS34" s="739"/>
      <c r="HT34" s="739"/>
      <c r="HU34" s="739"/>
      <c r="HV34" s="739"/>
      <c r="HW34" s="739"/>
      <c r="HX34" s="739"/>
      <c r="HY34" s="739"/>
      <c r="HZ34" s="739"/>
    </row>
    <row r="35" spans="1:234" s="94" customFormat="1" x14ac:dyDescent="0.25">
      <c r="A35" s="57">
        <f>IF(COUNTBLANK(B35)=1," ",COUNTA($B$12:B35))</f>
        <v>8</v>
      </c>
      <c r="B35" s="206" t="s">
        <v>14</v>
      </c>
      <c r="C35" s="54" t="s">
        <v>391</v>
      </c>
      <c r="D35" s="743" t="s">
        <v>16</v>
      </c>
      <c r="E35" s="10">
        <v>418</v>
      </c>
      <c r="F35" s="211"/>
      <c r="G35" s="60"/>
      <c r="H35" s="271"/>
      <c r="I35" s="60"/>
      <c r="J35" s="15"/>
      <c r="K35" s="60"/>
      <c r="L35" s="278"/>
      <c r="M35" s="279"/>
      <c r="N35" s="272"/>
      <c r="O35" s="272"/>
      <c r="P35" s="272"/>
      <c r="Q35" s="433"/>
    </row>
    <row r="36" spans="1:234" s="94" customFormat="1" ht="22.5" x14ac:dyDescent="0.25">
      <c r="A36" s="57"/>
      <c r="B36" s="206" t="s">
        <v>479</v>
      </c>
      <c r="C36" s="151" t="s">
        <v>902</v>
      </c>
      <c r="D36" s="761" t="s">
        <v>17</v>
      </c>
      <c r="E36" s="762">
        <v>602</v>
      </c>
      <c r="F36" s="211"/>
      <c r="G36" s="60"/>
      <c r="H36" s="271"/>
      <c r="I36" s="60"/>
      <c r="J36" s="15"/>
      <c r="K36" s="60"/>
      <c r="L36" s="278"/>
      <c r="M36" s="279"/>
      <c r="N36" s="272"/>
      <c r="O36" s="272"/>
      <c r="P36" s="272"/>
      <c r="Q36" s="433"/>
    </row>
    <row r="37" spans="1:234" s="94" customFormat="1" x14ac:dyDescent="0.25">
      <c r="A37" s="57" t="str">
        <f>IF(COUNTBLANK(B37)=1," ",COUNTA($B$12:B37))</f>
        <v xml:space="preserve"> </v>
      </c>
      <c r="B37" s="210"/>
      <c r="C37" s="327" t="s">
        <v>21</v>
      </c>
      <c r="D37" s="207" t="s">
        <v>32</v>
      </c>
      <c r="E37" s="211">
        <f>E35*F37</f>
        <v>2508</v>
      </c>
      <c r="F37" s="211">
        <v>6</v>
      </c>
      <c r="G37" s="60"/>
      <c r="H37" s="60"/>
      <c r="I37" s="60"/>
      <c r="J37" s="60"/>
      <c r="K37" s="60"/>
      <c r="L37" s="278"/>
      <c r="M37" s="279"/>
      <c r="N37" s="272"/>
      <c r="O37" s="272"/>
      <c r="P37" s="272"/>
      <c r="Q37" s="433"/>
    </row>
    <row r="38" spans="1:234" s="94" customFormat="1" x14ac:dyDescent="0.25">
      <c r="A38" s="57" t="str">
        <f>IF(COUNTBLANK(B38)=1," ",COUNTA($B$12:B38))</f>
        <v xml:space="preserve"> </v>
      </c>
      <c r="B38" s="210"/>
      <c r="C38" s="448" t="s">
        <v>441</v>
      </c>
      <c r="D38" s="204" t="s">
        <v>17</v>
      </c>
      <c r="E38" s="211">
        <f>E35*F38</f>
        <v>62.699999999999996</v>
      </c>
      <c r="F38" s="211">
        <v>0.15</v>
      </c>
      <c r="G38" s="60"/>
      <c r="H38" s="60"/>
      <c r="I38" s="60"/>
      <c r="J38" s="60"/>
      <c r="K38" s="60"/>
      <c r="L38" s="278"/>
      <c r="M38" s="279"/>
      <c r="N38" s="272"/>
      <c r="O38" s="272"/>
      <c r="P38" s="272"/>
      <c r="Q38" s="433"/>
    </row>
    <row r="39" spans="1:234" s="93" customFormat="1" ht="22.5" x14ac:dyDescent="0.25">
      <c r="A39" s="57" t="str">
        <f>IF(COUNTBLANK(B39)=1," ",COUNTA($B$12:B39))</f>
        <v xml:space="preserve"> </v>
      </c>
      <c r="B39" s="365"/>
      <c r="C39" s="54" t="s">
        <v>393</v>
      </c>
      <c r="D39" s="743"/>
      <c r="E39" s="10"/>
      <c r="F39" s="619"/>
      <c r="G39" s="621"/>
      <c r="H39" s="622"/>
      <c r="I39" s="312"/>
      <c r="J39" s="312"/>
      <c r="K39" s="312"/>
      <c r="L39" s="278"/>
      <c r="M39" s="279"/>
      <c r="N39" s="272"/>
      <c r="O39" s="272"/>
      <c r="P39" s="272"/>
      <c r="Q39" s="433"/>
    </row>
    <row r="40" spans="1:234" s="93" customFormat="1" x14ac:dyDescent="0.25">
      <c r="A40" s="57">
        <f>IF(COUNTBLANK(B40)=1," ",COUNTA($B$12:B40))</f>
        <v>10</v>
      </c>
      <c r="B40" s="206" t="s">
        <v>14</v>
      </c>
      <c r="C40" s="54" t="s">
        <v>820</v>
      </c>
      <c r="D40" s="743" t="s">
        <v>32</v>
      </c>
      <c r="E40" s="10">
        <v>22</v>
      </c>
      <c r="F40" s="618"/>
      <c r="G40" s="34"/>
      <c r="H40" s="271"/>
      <c r="I40" s="34"/>
      <c r="J40" s="15"/>
      <c r="K40" s="34"/>
      <c r="L40" s="278"/>
      <c r="M40" s="279"/>
      <c r="N40" s="272"/>
      <c r="O40" s="272"/>
      <c r="P40" s="272"/>
      <c r="Q40" s="433"/>
    </row>
    <row r="41" spans="1:234" s="93" customFormat="1" ht="22.5" x14ac:dyDescent="0.25">
      <c r="A41" s="57" t="str">
        <f>IF(COUNTBLANK(B41)=1," ",COUNTA($B$12:B41))</f>
        <v xml:space="preserve"> </v>
      </c>
      <c r="B41" s="729"/>
      <c r="C41" s="54" t="s">
        <v>394</v>
      </c>
      <c r="D41" s="743" t="s">
        <v>23</v>
      </c>
      <c r="E41" s="10">
        <v>616.6336</v>
      </c>
      <c r="F41" s="619">
        <v>28.03</v>
      </c>
      <c r="G41" s="619"/>
      <c r="H41" s="619"/>
      <c r="I41" s="312"/>
      <c r="J41" s="312"/>
      <c r="K41" s="312"/>
      <c r="L41" s="278"/>
      <c r="M41" s="279"/>
      <c r="N41" s="272"/>
      <c r="O41" s="272"/>
      <c r="P41" s="272"/>
      <c r="Q41" s="433"/>
    </row>
    <row r="42" spans="1:234" s="93" customFormat="1" x14ac:dyDescent="0.25">
      <c r="A42" s="57" t="str">
        <f>IF(COUNTBLANK(B42)=1," ",COUNTA($B$12:B42))</f>
        <v xml:space="preserve"> </v>
      </c>
      <c r="B42" s="729"/>
      <c r="C42" s="54" t="s">
        <v>376</v>
      </c>
      <c r="D42" s="743" t="s">
        <v>23</v>
      </c>
      <c r="E42" s="10">
        <v>68.64</v>
      </c>
      <c r="F42" s="619">
        <v>3.12</v>
      </c>
      <c r="G42" s="619"/>
      <c r="H42" s="619"/>
      <c r="I42" s="312"/>
      <c r="J42" s="312"/>
      <c r="K42" s="312"/>
      <c r="L42" s="278"/>
      <c r="M42" s="279"/>
      <c r="N42" s="272"/>
      <c r="O42" s="272"/>
      <c r="P42" s="272"/>
      <c r="Q42" s="433"/>
    </row>
    <row r="43" spans="1:234" s="93" customFormat="1" x14ac:dyDescent="0.25">
      <c r="A43" s="57" t="str">
        <f>IF(COUNTBLANK(B43)=1," ",COUNTA($B$12:B43))</f>
        <v xml:space="preserve"> </v>
      </c>
      <c r="B43" s="729"/>
      <c r="C43" s="54" t="s">
        <v>377</v>
      </c>
      <c r="D43" s="743" t="s">
        <v>32</v>
      </c>
      <c r="E43" s="10">
        <v>88</v>
      </c>
      <c r="F43" s="620">
        <v>4</v>
      </c>
      <c r="G43" s="619"/>
      <c r="H43" s="619"/>
      <c r="I43" s="312"/>
      <c r="J43" s="312"/>
      <c r="K43" s="312"/>
      <c r="L43" s="278"/>
      <c r="M43" s="279"/>
      <c r="N43" s="272"/>
      <c r="O43" s="272"/>
      <c r="P43" s="272"/>
      <c r="Q43" s="433"/>
    </row>
    <row r="44" spans="1:234" s="93" customFormat="1" x14ac:dyDescent="0.25">
      <c r="A44" s="57" t="str">
        <f>IF(COUNTBLANK(B44)=1," ",COUNTA($B$12:B44))</f>
        <v xml:space="preserve"> </v>
      </c>
      <c r="B44" s="729"/>
      <c r="C44" s="54" t="s">
        <v>395</v>
      </c>
      <c r="D44" s="743" t="s">
        <v>23</v>
      </c>
      <c r="E44" s="10">
        <v>600.58240000000001</v>
      </c>
      <c r="F44" s="619">
        <v>27.3</v>
      </c>
      <c r="G44" s="619"/>
      <c r="H44" s="619"/>
      <c r="I44" s="312"/>
      <c r="J44" s="312"/>
      <c r="K44" s="312"/>
      <c r="L44" s="278"/>
      <c r="M44" s="279"/>
      <c r="N44" s="272"/>
      <c r="O44" s="272"/>
      <c r="P44" s="272"/>
      <c r="Q44" s="433"/>
    </row>
    <row r="45" spans="1:234" s="93" customFormat="1" x14ac:dyDescent="0.25">
      <c r="A45" s="57" t="str">
        <f>IF(COUNTBLANK(B45)=1," ",COUNTA($B$12:B45))</f>
        <v xml:space="preserve"> </v>
      </c>
      <c r="B45" s="729"/>
      <c r="C45" s="54" t="s">
        <v>396</v>
      </c>
      <c r="D45" s="743" t="s">
        <v>32</v>
      </c>
      <c r="E45" s="10">
        <f>22*5</f>
        <v>110</v>
      </c>
      <c r="F45" s="620">
        <v>5</v>
      </c>
      <c r="G45" s="619"/>
      <c r="H45" s="619"/>
      <c r="I45" s="312"/>
      <c r="J45" s="312"/>
      <c r="K45" s="312"/>
      <c r="L45" s="278"/>
      <c r="M45" s="279"/>
      <c r="N45" s="272"/>
      <c r="O45" s="272"/>
      <c r="P45" s="272"/>
      <c r="Q45" s="433"/>
    </row>
    <row r="46" spans="1:234" s="93" customFormat="1" ht="22.5" x14ac:dyDescent="0.25">
      <c r="A46" s="57" t="str">
        <f>IF(COUNTBLANK(B46)=1," ",COUNTA($B$12:B46))</f>
        <v xml:space="preserve"> </v>
      </c>
      <c r="B46" s="729"/>
      <c r="C46" s="54" t="s">
        <v>397</v>
      </c>
      <c r="D46" s="743" t="s">
        <v>23</v>
      </c>
      <c r="E46" s="10">
        <v>34</v>
      </c>
      <c r="F46" s="377">
        <v>1.55</v>
      </c>
      <c r="G46" s="377"/>
      <c r="H46" s="377"/>
      <c r="I46" s="312"/>
      <c r="J46" s="312"/>
      <c r="K46" s="312"/>
      <c r="L46" s="278"/>
      <c r="M46" s="279"/>
      <c r="N46" s="272"/>
      <c r="O46" s="272"/>
      <c r="P46" s="272"/>
      <c r="Q46" s="433"/>
    </row>
    <row r="47" spans="1:234" s="93" customFormat="1" x14ac:dyDescent="0.25">
      <c r="A47" s="57" t="str">
        <f>IF(COUNTBLANK(B47)=1," ",COUNTA($B$12:B47))</f>
        <v xml:space="preserve"> </v>
      </c>
      <c r="B47" s="729"/>
      <c r="C47" s="54" t="s">
        <v>333</v>
      </c>
      <c r="D47" s="743" t="s">
        <v>32</v>
      </c>
      <c r="E47" s="10">
        <v>110</v>
      </c>
      <c r="F47" s="620">
        <v>5</v>
      </c>
      <c r="G47" s="619"/>
      <c r="H47" s="619"/>
      <c r="I47" s="312"/>
      <c r="J47" s="312"/>
      <c r="K47" s="312"/>
      <c r="L47" s="278"/>
      <c r="M47" s="279"/>
      <c r="N47" s="272"/>
      <c r="O47" s="272"/>
      <c r="P47" s="272"/>
      <c r="Q47" s="433"/>
    </row>
    <row r="48" spans="1:234" s="93" customFormat="1" x14ac:dyDescent="0.25">
      <c r="A48" s="57" t="str">
        <f>IF(COUNTBLANK(B48)=1," ",COUNTA($B$12:B48))</f>
        <v xml:space="preserve"> </v>
      </c>
      <c r="B48" s="729"/>
      <c r="C48" s="54" t="s">
        <v>398</v>
      </c>
      <c r="D48" s="743" t="s">
        <v>23</v>
      </c>
      <c r="E48" s="10">
        <v>51</v>
      </c>
      <c r="F48" s="620">
        <v>2.3199999999999998</v>
      </c>
      <c r="G48" s="377"/>
      <c r="H48" s="377"/>
      <c r="I48" s="312"/>
      <c r="J48" s="312"/>
      <c r="K48" s="312"/>
      <c r="L48" s="278"/>
      <c r="M48" s="279"/>
      <c r="N48" s="272"/>
      <c r="O48" s="272"/>
      <c r="P48" s="272"/>
      <c r="Q48" s="433"/>
    </row>
    <row r="49" spans="1:234" s="94" customFormat="1" x14ac:dyDescent="0.25">
      <c r="A49" s="57">
        <f>IF(COUNTBLANK(B49)=1," ",COUNTA($B$12:B49))</f>
        <v>11</v>
      </c>
      <c r="B49" s="206" t="s">
        <v>14</v>
      </c>
      <c r="C49" s="54" t="s">
        <v>382</v>
      </c>
      <c r="D49" s="743" t="s">
        <v>17</v>
      </c>
      <c r="E49" s="10">
        <v>30</v>
      </c>
      <c r="F49" s="211"/>
      <c r="G49" s="60"/>
      <c r="H49" s="271"/>
      <c r="I49" s="60"/>
      <c r="J49" s="15"/>
      <c r="K49" s="60"/>
      <c r="L49" s="278"/>
      <c r="M49" s="279"/>
      <c r="N49" s="272"/>
      <c r="O49" s="272"/>
      <c r="P49" s="272"/>
      <c r="Q49" s="433"/>
    </row>
    <row r="50" spans="1:234" s="94" customFormat="1" x14ac:dyDescent="0.25">
      <c r="A50" s="57" t="str">
        <f>IF(COUNTBLANK(B50)=1," ",COUNTA($B$12:B50))</f>
        <v xml:space="preserve"> </v>
      </c>
      <c r="B50" s="210"/>
      <c r="C50" s="327" t="s">
        <v>21</v>
      </c>
      <c r="D50" s="207" t="s">
        <v>32</v>
      </c>
      <c r="E50" s="211">
        <f>E49*F50</f>
        <v>180</v>
      </c>
      <c r="F50" s="211">
        <v>6</v>
      </c>
      <c r="G50" s="60"/>
      <c r="H50" s="60"/>
      <c r="I50" s="60"/>
      <c r="J50" s="60"/>
      <c r="K50" s="60"/>
      <c r="L50" s="278"/>
      <c r="M50" s="279"/>
      <c r="N50" s="272"/>
      <c r="O50" s="272"/>
      <c r="P50" s="272"/>
      <c r="Q50" s="433"/>
    </row>
    <row r="51" spans="1:234" s="94" customFormat="1" x14ac:dyDescent="0.25">
      <c r="A51" s="57" t="str">
        <f>IF(COUNTBLANK(B51)=1," ",COUNTA($B$12:B51))</f>
        <v xml:space="preserve"> </v>
      </c>
      <c r="B51" s="210"/>
      <c r="C51" s="448" t="s">
        <v>441</v>
      </c>
      <c r="D51" s="204" t="s">
        <v>17</v>
      </c>
      <c r="E51" s="211">
        <f>E49*F51</f>
        <v>33</v>
      </c>
      <c r="F51" s="211">
        <v>1.1000000000000001</v>
      </c>
      <c r="G51" s="60"/>
      <c r="H51" s="60"/>
      <c r="I51" s="60"/>
      <c r="J51" s="60"/>
      <c r="K51" s="60"/>
      <c r="L51" s="278"/>
      <c r="M51" s="279"/>
      <c r="N51" s="272"/>
      <c r="O51" s="272"/>
      <c r="P51" s="272"/>
      <c r="Q51" s="433"/>
    </row>
    <row r="52" spans="1:234" s="93" customFormat="1" x14ac:dyDescent="0.25">
      <c r="A52" s="57">
        <f>IF(COUNTBLANK(B52)=1," ",COUNTA($B$12:B52))</f>
        <v>12</v>
      </c>
      <c r="B52" s="206" t="s">
        <v>14</v>
      </c>
      <c r="C52" s="54" t="s">
        <v>337</v>
      </c>
      <c r="D52" s="743" t="s">
        <v>17</v>
      </c>
      <c r="E52" s="10">
        <v>54</v>
      </c>
      <c r="F52" s="619"/>
      <c r="G52" s="312"/>
      <c r="H52" s="271"/>
      <c r="I52" s="312"/>
      <c r="J52" s="312"/>
      <c r="K52" s="312"/>
      <c r="L52" s="278"/>
      <c r="M52" s="279"/>
      <c r="N52" s="272"/>
      <c r="O52" s="272"/>
      <c r="P52" s="272"/>
      <c r="Q52" s="433"/>
    </row>
    <row r="53" spans="1:234" s="93" customFormat="1" x14ac:dyDescent="0.25">
      <c r="A53" s="57" t="str">
        <f>IF(COUNTBLANK(B53)=1," ",COUNTA($B$12:B53))</f>
        <v xml:space="preserve"> </v>
      </c>
      <c r="B53" s="729"/>
      <c r="C53" s="679" t="s">
        <v>383</v>
      </c>
      <c r="D53" s="743"/>
      <c r="E53" s="10"/>
      <c r="F53" s="619"/>
      <c r="G53" s="619"/>
      <c r="H53" s="619"/>
      <c r="I53" s="312"/>
      <c r="J53" s="312"/>
      <c r="K53" s="312"/>
      <c r="L53" s="278"/>
      <c r="M53" s="279"/>
      <c r="N53" s="272"/>
      <c r="O53" s="272"/>
      <c r="P53" s="272"/>
      <c r="Q53" s="433"/>
    </row>
    <row r="54" spans="1:234" s="93" customFormat="1" x14ac:dyDescent="0.25">
      <c r="A54" s="57">
        <f>IF(COUNTBLANK(B54)=1," ",COUNTA($B$12:B54))</f>
        <v>13</v>
      </c>
      <c r="B54" s="206" t="s">
        <v>14</v>
      </c>
      <c r="C54" s="54" t="s">
        <v>399</v>
      </c>
      <c r="D54" s="743" t="s">
        <v>16</v>
      </c>
      <c r="E54" s="10">
        <f>3.04*22</f>
        <v>66.88</v>
      </c>
      <c r="F54" s="619"/>
      <c r="G54" s="312"/>
      <c r="H54" s="271"/>
      <c r="I54" s="312"/>
      <c r="J54" s="312"/>
      <c r="K54" s="312"/>
      <c r="L54" s="278"/>
      <c r="M54" s="279"/>
      <c r="N54" s="272"/>
      <c r="O54" s="272"/>
      <c r="P54" s="272"/>
      <c r="Q54" s="433"/>
    </row>
    <row r="55" spans="1:234" s="93" customFormat="1" x14ac:dyDescent="0.25">
      <c r="A55" s="57">
        <f>IF(COUNTBLANK(B55)=1," ",COUNTA($B$12:B55))</f>
        <v>14</v>
      </c>
      <c r="B55" s="206" t="s">
        <v>14</v>
      </c>
      <c r="C55" s="54" t="s">
        <v>385</v>
      </c>
      <c r="D55" s="743" t="s">
        <v>16</v>
      </c>
      <c r="E55" s="10">
        <v>67</v>
      </c>
      <c r="F55" s="619"/>
      <c r="G55" s="312"/>
      <c r="H55" s="271"/>
      <c r="I55" s="312"/>
      <c r="J55" s="312"/>
      <c r="K55" s="312"/>
      <c r="L55" s="278"/>
      <c r="M55" s="279"/>
      <c r="N55" s="272"/>
      <c r="O55" s="272"/>
      <c r="P55" s="272"/>
      <c r="Q55" s="433"/>
    </row>
    <row r="56" spans="1:234" s="93" customFormat="1" ht="22.5" x14ac:dyDescent="0.25">
      <c r="A56" s="57" t="str">
        <f>IF(COUNTBLANK(B56)=1," ",COUNTA($B$12:B56))</f>
        <v xml:space="preserve"> </v>
      </c>
      <c r="B56" s="729"/>
      <c r="C56" s="54" t="s">
        <v>400</v>
      </c>
      <c r="D56" s="743" t="s">
        <v>32</v>
      </c>
      <c r="E56" s="10">
        <f>22*5</f>
        <v>110</v>
      </c>
      <c r="F56" s="619"/>
      <c r="G56" s="621"/>
      <c r="H56" s="622"/>
      <c r="I56" s="60"/>
      <c r="J56" s="60"/>
      <c r="K56" s="60"/>
      <c r="L56" s="278"/>
      <c r="M56" s="279"/>
      <c r="N56" s="272"/>
      <c r="O56" s="272"/>
      <c r="P56" s="272"/>
      <c r="Q56" s="433"/>
    </row>
    <row r="57" spans="1:234" s="93" customFormat="1" x14ac:dyDescent="0.25">
      <c r="A57" s="57" t="str">
        <f>IF(COUNTBLANK(B57)=1," ",COUNTA($B$12:B57))</f>
        <v xml:space="preserve"> </v>
      </c>
      <c r="B57" s="729"/>
      <c r="C57" s="54" t="s">
        <v>401</v>
      </c>
      <c r="D57" s="743" t="s">
        <v>16</v>
      </c>
      <c r="E57" s="10">
        <v>67</v>
      </c>
      <c r="F57" s="619"/>
      <c r="G57" s="621"/>
      <c r="H57" s="622"/>
      <c r="I57" s="136"/>
      <c r="J57" s="136"/>
      <c r="K57" s="136"/>
      <c r="L57" s="278"/>
      <c r="M57" s="279"/>
      <c r="N57" s="272"/>
      <c r="O57" s="272"/>
      <c r="P57" s="272"/>
      <c r="Q57" s="433"/>
    </row>
    <row r="58" spans="1:234" s="93" customFormat="1" x14ac:dyDescent="0.25">
      <c r="A58" s="57">
        <f>IF(COUNTBLANK(B58)=1," ",COUNTA($B$12:B58))</f>
        <v>15</v>
      </c>
      <c r="B58" s="206" t="s">
        <v>14</v>
      </c>
      <c r="C58" s="54" t="s">
        <v>402</v>
      </c>
      <c r="D58" s="743" t="s">
        <v>16</v>
      </c>
      <c r="E58" s="10">
        <f>3.04*22</f>
        <v>66.88</v>
      </c>
      <c r="F58" s="619"/>
      <c r="G58" s="10"/>
      <c r="H58" s="271"/>
      <c r="I58" s="10"/>
      <c r="J58" s="12"/>
      <c r="K58" s="10"/>
      <c r="L58" s="278"/>
      <c r="M58" s="279"/>
      <c r="N58" s="272"/>
      <c r="O58" s="272"/>
      <c r="P58" s="272"/>
      <c r="Q58" s="433"/>
    </row>
    <row r="59" spans="1:234" s="162" customFormat="1" x14ac:dyDescent="0.25">
      <c r="A59" s="57">
        <f>IF(COUNTBLANK(B59)=1," ",COUNTA($B$12:B59))</f>
        <v>16</v>
      </c>
      <c r="B59" s="206" t="s">
        <v>14</v>
      </c>
      <c r="C59" s="54" t="s">
        <v>389</v>
      </c>
      <c r="D59" s="743" t="s">
        <v>16</v>
      </c>
      <c r="E59" s="10">
        <v>67</v>
      </c>
      <c r="F59" s="619"/>
      <c r="G59" s="10"/>
      <c r="H59" s="271"/>
      <c r="I59" s="10"/>
      <c r="J59" s="12"/>
      <c r="K59" s="10"/>
      <c r="L59" s="278"/>
      <c r="M59" s="279"/>
      <c r="N59" s="272"/>
      <c r="O59" s="272"/>
      <c r="P59" s="272"/>
      <c r="Q59" s="433"/>
      <c r="R59" s="739"/>
      <c r="S59" s="739"/>
      <c r="T59" s="739"/>
      <c r="U59" s="739"/>
      <c r="V59" s="739"/>
      <c r="W59" s="739"/>
      <c r="X59" s="739"/>
      <c r="Y59" s="739"/>
      <c r="Z59" s="739"/>
      <c r="AA59" s="739"/>
      <c r="AB59" s="739"/>
      <c r="AC59" s="739"/>
      <c r="AD59" s="739"/>
      <c r="AE59" s="739"/>
      <c r="AF59" s="739"/>
      <c r="AG59" s="739"/>
      <c r="AH59" s="739"/>
      <c r="AI59" s="739"/>
      <c r="AJ59" s="739"/>
      <c r="AK59" s="739"/>
      <c r="AL59" s="739"/>
      <c r="AM59" s="739"/>
      <c r="AN59" s="739"/>
      <c r="AO59" s="739"/>
      <c r="AP59" s="739"/>
      <c r="AQ59" s="739"/>
      <c r="AR59" s="739"/>
      <c r="AS59" s="739"/>
      <c r="AT59" s="739"/>
      <c r="AU59" s="739"/>
      <c r="AV59" s="739"/>
      <c r="AW59" s="739"/>
      <c r="AX59" s="739"/>
      <c r="AY59" s="739"/>
      <c r="AZ59" s="739"/>
      <c r="BA59" s="739"/>
      <c r="BB59" s="739"/>
      <c r="BC59" s="739"/>
      <c r="BD59" s="739"/>
      <c r="BE59" s="739"/>
      <c r="BF59" s="739"/>
      <c r="BG59" s="739"/>
      <c r="BH59" s="739"/>
      <c r="BI59" s="739"/>
      <c r="BJ59" s="739"/>
      <c r="BK59" s="739"/>
      <c r="BL59" s="739"/>
      <c r="BM59" s="739"/>
      <c r="BN59" s="739"/>
      <c r="BO59" s="739"/>
      <c r="BP59" s="739"/>
      <c r="BQ59" s="739"/>
      <c r="BR59" s="739"/>
      <c r="BS59" s="739"/>
      <c r="BT59" s="739"/>
      <c r="BU59" s="739"/>
      <c r="BV59" s="739"/>
      <c r="BW59" s="739"/>
      <c r="BX59" s="739"/>
      <c r="BY59" s="739"/>
      <c r="BZ59" s="739"/>
      <c r="CA59" s="739"/>
      <c r="CB59" s="739"/>
      <c r="CC59" s="739"/>
      <c r="CD59" s="739"/>
      <c r="CE59" s="739"/>
      <c r="CF59" s="739"/>
      <c r="CG59" s="739"/>
      <c r="CH59" s="739"/>
      <c r="CI59" s="739"/>
      <c r="CJ59" s="739"/>
      <c r="CK59" s="739"/>
      <c r="CL59" s="739"/>
      <c r="CM59" s="739"/>
      <c r="CN59" s="739"/>
      <c r="CO59" s="739"/>
      <c r="CP59" s="739"/>
      <c r="CQ59" s="739"/>
      <c r="CR59" s="739"/>
      <c r="CS59" s="739"/>
      <c r="CT59" s="739"/>
      <c r="CU59" s="739"/>
      <c r="CV59" s="739"/>
      <c r="CW59" s="739"/>
      <c r="CX59" s="739"/>
      <c r="CY59" s="739"/>
      <c r="CZ59" s="739"/>
      <c r="DA59" s="739"/>
      <c r="DB59" s="739"/>
      <c r="DC59" s="739"/>
      <c r="DD59" s="739"/>
      <c r="DE59" s="739"/>
      <c r="DF59" s="739"/>
      <c r="DG59" s="739"/>
      <c r="DH59" s="739"/>
      <c r="DI59" s="739"/>
      <c r="DJ59" s="739"/>
      <c r="DK59" s="739"/>
      <c r="DL59" s="739"/>
      <c r="DM59" s="739"/>
      <c r="DN59" s="739"/>
      <c r="DO59" s="739"/>
      <c r="DP59" s="739"/>
      <c r="DQ59" s="739"/>
      <c r="DR59" s="739"/>
      <c r="DS59" s="739"/>
      <c r="DT59" s="739"/>
      <c r="DU59" s="739"/>
      <c r="DV59" s="739"/>
      <c r="DW59" s="739"/>
      <c r="DX59" s="739"/>
      <c r="DY59" s="739"/>
      <c r="DZ59" s="739"/>
      <c r="EA59" s="739"/>
      <c r="EB59" s="739"/>
      <c r="EC59" s="739"/>
      <c r="ED59" s="739"/>
      <c r="EE59" s="739"/>
      <c r="EF59" s="739"/>
      <c r="EG59" s="739"/>
      <c r="EH59" s="739"/>
      <c r="EI59" s="739"/>
      <c r="EJ59" s="739"/>
      <c r="EK59" s="739"/>
      <c r="EL59" s="739"/>
      <c r="EM59" s="739"/>
      <c r="EN59" s="739"/>
      <c r="EO59" s="739"/>
      <c r="EP59" s="739"/>
      <c r="EQ59" s="739"/>
      <c r="ER59" s="739"/>
      <c r="ES59" s="739"/>
      <c r="ET59" s="739"/>
      <c r="EU59" s="739"/>
      <c r="EV59" s="739"/>
      <c r="EW59" s="739"/>
      <c r="EX59" s="739"/>
      <c r="EY59" s="739"/>
      <c r="EZ59" s="739"/>
      <c r="FA59" s="739"/>
      <c r="FB59" s="739"/>
      <c r="FC59" s="739"/>
      <c r="FD59" s="739"/>
      <c r="FE59" s="739"/>
      <c r="FF59" s="739"/>
      <c r="FG59" s="739"/>
      <c r="FH59" s="739"/>
      <c r="FI59" s="739"/>
      <c r="FJ59" s="739"/>
      <c r="FK59" s="739"/>
      <c r="FL59" s="739"/>
      <c r="FM59" s="739"/>
      <c r="FN59" s="739"/>
      <c r="FO59" s="739"/>
      <c r="FP59" s="739"/>
      <c r="FQ59" s="739"/>
      <c r="FR59" s="739"/>
      <c r="FS59" s="739"/>
      <c r="FT59" s="739"/>
      <c r="FU59" s="739"/>
      <c r="FV59" s="739"/>
      <c r="FW59" s="739"/>
      <c r="FX59" s="739"/>
      <c r="FY59" s="739"/>
      <c r="FZ59" s="739"/>
      <c r="GA59" s="739"/>
      <c r="GB59" s="739"/>
      <c r="GC59" s="739"/>
      <c r="GD59" s="739"/>
      <c r="GE59" s="739"/>
      <c r="GF59" s="739"/>
      <c r="GG59" s="739"/>
      <c r="GH59" s="739"/>
      <c r="GI59" s="739"/>
      <c r="GJ59" s="739"/>
      <c r="GK59" s="739"/>
      <c r="GL59" s="739"/>
      <c r="GM59" s="739"/>
      <c r="GN59" s="739"/>
      <c r="GO59" s="739"/>
      <c r="GP59" s="739"/>
      <c r="GQ59" s="739"/>
      <c r="GR59" s="739"/>
      <c r="GS59" s="739"/>
      <c r="GT59" s="739"/>
      <c r="GU59" s="739"/>
      <c r="GV59" s="739"/>
      <c r="GW59" s="739"/>
      <c r="GX59" s="739"/>
      <c r="GY59" s="739"/>
      <c r="GZ59" s="739"/>
      <c r="HA59" s="739"/>
      <c r="HB59" s="739"/>
      <c r="HC59" s="739"/>
      <c r="HD59" s="739"/>
      <c r="HE59" s="739"/>
      <c r="HF59" s="739"/>
      <c r="HG59" s="739"/>
      <c r="HH59" s="739"/>
      <c r="HI59" s="739"/>
      <c r="HJ59" s="739"/>
      <c r="HK59" s="739"/>
      <c r="HL59" s="739"/>
      <c r="HM59" s="739"/>
      <c r="HN59" s="739"/>
      <c r="HO59" s="739"/>
      <c r="HP59" s="739"/>
      <c r="HQ59" s="739"/>
      <c r="HR59" s="739"/>
      <c r="HS59" s="739"/>
      <c r="HT59" s="739"/>
      <c r="HU59" s="739"/>
      <c r="HV59" s="739"/>
      <c r="HW59" s="739"/>
      <c r="HX59" s="739"/>
      <c r="HY59" s="739"/>
      <c r="HZ59" s="739"/>
    </row>
    <row r="60" spans="1:234" s="162" customFormat="1" x14ac:dyDescent="0.25">
      <c r="A60" s="57">
        <f>IF(COUNTBLANK(B60)=1," ",COUNTA($B$12:B60))</f>
        <v>17</v>
      </c>
      <c r="B60" s="206" t="s">
        <v>14</v>
      </c>
      <c r="C60" s="54" t="s">
        <v>390</v>
      </c>
      <c r="D60" s="743" t="s">
        <v>16</v>
      </c>
      <c r="E60" s="10">
        <v>134</v>
      </c>
      <c r="F60" s="619"/>
      <c r="G60" s="136"/>
      <c r="H60" s="271"/>
      <c r="I60" s="436"/>
      <c r="J60" s="306"/>
      <c r="K60" s="136"/>
      <c r="L60" s="278"/>
      <c r="M60" s="279"/>
      <c r="N60" s="272"/>
      <c r="O60" s="272"/>
      <c r="P60" s="272"/>
      <c r="Q60" s="433"/>
      <c r="R60" s="739"/>
      <c r="S60" s="739"/>
      <c r="T60" s="739"/>
      <c r="U60" s="739"/>
      <c r="V60" s="739"/>
      <c r="W60" s="739"/>
      <c r="X60" s="739"/>
      <c r="Y60" s="739"/>
      <c r="Z60" s="739"/>
      <c r="AA60" s="739"/>
      <c r="AB60" s="739"/>
      <c r="AC60" s="739"/>
      <c r="AD60" s="739"/>
      <c r="AE60" s="739"/>
      <c r="AF60" s="739"/>
      <c r="AG60" s="739"/>
      <c r="AH60" s="739"/>
      <c r="AI60" s="739"/>
      <c r="AJ60" s="739"/>
      <c r="AK60" s="739"/>
      <c r="AL60" s="739"/>
      <c r="AM60" s="739"/>
      <c r="AN60" s="739"/>
      <c r="AO60" s="739"/>
      <c r="AP60" s="739"/>
      <c r="AQ60" s="739"/>
      <c r="AR60" s="739"/>
      <c r="AS60" s="739"/>
      <c r="AT60" s="739"/>
      <c r="AU60" s="739"/>
      <c r="AV60" s="739"/>
      <c r="AW60" s="739"/>
      <c r="AX60" s="739"/>
      <c r="AY60" s="739"/>
      <c r="AZ60" s="739"/>
      <c r="BA60" s="739"/>
      <c r="BB60" s="739"/>
      <c r="BC60" s="739"/>
      <c r="BD60" s="739"/>
      <c r="BE60" s="739"/>
      <c r="BF60" s="739"/>
      <c r="BG60" s="739"/>
      <c r="BH60" s="739"/>
      <c r="BI60" s="739"/>
      <c r="BJ60" s="739"/>
      <c r="BK60" s="739"/>
      <c r="BL60" s="739"/>
      <c r="BM60" s="739"/>
      <c r="BN60" s="739"/>
      <c r="BO60" s="739"/>
      <c r="BP60" s="739"/>
      <c r="BQ60" s="739"/>
      <c r="BR60" s="739"/>
      <c r="BS60" s="739"/>
      <c r="BT60" s="739"/>
      <c r="BU60" s="739"/>
      <c r="BV60" s="739"/>
      <c r="BW60" s="739"/>
      <c r="BX60" s="739"/>
      <c r="BY60" s="739"/>
      <c r="BZ60" s="739"/>
      <c r="CA60" s="739"/>
      <c r="CB60" s="739"/>
      <c r="CC60" s="739"/>
      <c r="CD60" s="739"/>
      <c r="CE60" s="739"/>
      <c r="CF60" s="739"/>
      <c r="CG60" s="739"/>
      <c r="CH60" s="739"/>
      <c r="CI60" s="739"/>
      <c r="CJ60" s="739"/>
      <c r="CK60" s="739"/>
      <c r="CL60" s="739"/>
      <c r="CM60" s="739"/>
      <c r="CN60" s="739"/>
      <c r="CO60" s="739"/>
      <c r="CP60" s="739"/>
      <c r="CQ60" s="739"/>
      <c r="CR60" s="739"/>
      <c r="CS60" s="739"/>
      <c r="CT60" s="739"/>
      <c r="CU60" s="739"/>
      <c r="CV60" s="739"/>
      <c r="CW60" s="739"/>
      <c r="CX60" s="739"/>
      <c r="CY60" s="739"/>
      <c r="CZ60" s="739"/>
      <c r="DA60" s="739"/>
      <c r="DB60" s="739"/>
      <c r="DC60" s="739"/>
      <c r="DD60" s="739"/>
      <c r="DE60" s="739"/>
      <c r="DF60" s="739"/>
      <c r="DG60" s="739"/>
      <c r="DH60" s="739"/>
      <c r="DI60" s="739"/>
      <c r="DJ60" s="739"/>
      <c r="DK60" s="739"/>
      <c r="DL60" s="739"/>
      <c r="DM60" s="739"/>
      <c r="DN60" s="739"/>
      <c r="DO60" s="739"/>
      <c r="DP60" s="739"/>
      <c r="DQ60" s="739"/>
      <c r="DR60" s="739"/>
      <c r="DS60" s="739"/>
      <c r="DT60" s="739"/>
      <c r="DU60" s="739"/>
      <c r="DV60" s="739"/>
      <c r="DW60" s="739"/>
      <c r="DX60" s="739"/>
      <c r="DY60" s="739"/>
      <c r="DZ60" s="739"/>
      <c r="EA60" s="739"/>
      <c r="EB60" s="739"/>
      <c r="EC60" s="739"/>
      <c r="ED60" s="739"/>
      <c r="EE60" s="739"/>
      <c r="EF60" s="739"/>
      <c r="EG60" s="739"/>
      <c r="EH60" s="739"/>
      <c r="EI60" s="739"/>
      <c r="EJ60" s="739"/>
      <c r="EK60" s="739"/>
      <c r="EL60" s="739"/>
      <c r="EM60" s="739"/>
      <c r="EN60" s="739"/>
      <c r="EO60" s="739"/>
      <c r="EP60" s="739"/>
      <c r="EQ60" s="739"/>
      <c r="ER60" s="739"/>
      <c r="ES60" s="739"/>
      <c r="ET60" s="739"/>
      <c r="EU60" s="739"/>
      <c r="EV60" s="739"/>
      <c r="EW60" s="739"/>
      <c r="EX60" s="739"/>
      <c r="EY60" s="739"/>
      <c r="EZ60" s="739"/>
      <c r="FA60" s="739"/>
      <c r="FB60" s="739"/>
      <c r="FC60" s="739"/>
      <c r="FD60" s="739"/>
      <c r="FE60" s="739"/>
      <c r="FF60" s="739"/>
      <c r="FG60" s="739"/>
      <c r="FH60" s="739"/>
      <c r="FI60" s="739"/>
      <c r="FJ60" s="739"/>
      <c r="FK60" s="739"/>
      <c r="FL60" s="739"/>
      <c r="FM60" s="739"/>
      <c r="FN60" s="739"/>
      <c r="FO60" s="739"/>
      <c r="FP60" s="739"/>
      <c r="FQ60" s="739"/>
      <c r="FR60" s="739"/>
      <c r="FS60" s="739"/>
      <c r="FT60" s="739"/>
      <c r="FU60" s="739"/>
      <c r="FV60" s="739"/>
      <c r="FW60" s="739"/>
      <c r="FX60" s="739"/>
      <c r="FY60" s="739"/>
      <c r="FZ60" s="739"/>
      <c r="GA60" s="739"/>
      <c r="GB60" s="739"/>
      <c r="GC60" s="739"/>
      <c r="GD60" s="739"/>
      <c r="GE60" s="739"/>
      <c r="GF60" s="739"/>
      <c r="GG60" s="739"/>
      <c r="GH60" s="739"/>
      <c r="GI60" s="739"/>
      <c r="GJ60" s="739"/>
      <c r="GK60" s="739"/>
      <c r="GL60" s="739"/>
      <c r="GM60" s="739"/>
      <c r="GN60" s="739"/>
      <c r="GO60" s="739"/>
      <c r="GP60" s="739"/>
      <c r="GQ60" s="739"/>
      <c r="GR60" s="739"/>
      <c r="GS60" s="739"/>
      <c r="GT60" s="739"/>
      <c r="GU60" s="739"/>
      <c r="GV60" s="739"/>
      <c r="GW60" s="739"/>
      <c r="GX60" s="739"/>
      <c r="GY60" s="739"/>
      <c r="GZ60" s="739"/>
      <c r="HA60" s="739"/>
      <c r="HB60" s="739"/>
      <c r="HC60" s="739"/>
      <c r="HD60" s="739"/>
      <c r="HE60" s="739"/>
      <c r="HF60" s="739"/>
      <c r="HG60" s="739"/>
      <c r="HH60" s="739"/>
      <c r="HI60" s="739"/>
      <c r="HJ60" s="739"/>
      <c r="HK60" s="739"/>
      <c r="HL60" s="739"/>
      <c r="HM60" s="739"/>
      <c r="HN60" s="739"/>
      <c r="HO60" s="739"/>
      <c r="HP60" s="739"/>
      <c r="HQ60" s="739"/>
      <c r="HR60" s="739"/>
      <c r="HS60" s="739"/>
      <c r="HT60" s="739"/>
      <c r="HU60" s="739"/>
      <c r="HV60" s="739"/>
      <c r="HW60" s="739"/>
      <c r="HX60" s="739"/>
      <c r="HY60" s="739"/>
      <c r="HZ60" s="739"/>
    </row>
    <row r="61" spans="1:234" s="94" customFormat="1" x14ac:dyDescent="0.25">
      <c r="A61" s="57">
        <f>IF(COUNTBLANK(B61)=1," ",COUNTA($B$12:B61))</f>
        <v>18</v>
      </c>
      <c r="B61" s="206" t="s">
        <v>14</v>
      </c>
      <c r="C61" s="54" t="s">
        <v>391</v>
      </c>
      <c r="D61" s="743" t="s">
        <v>16</v>
      </c>
      <c r="E61" s="10">
        <v>67</v>
      </c>
      <c r="F61" s="211"/>
      <c r="G61" s="60"/>
      <c r="H61" s="271"/>
      <c r="I61" s="60"/>
      <c r="J61" s="15"/>
      <c r="K61" s="60"/>
      <c r="L61" s="278"/>
      <c r="M61" s="279"/>
      <c r="N61" s="272"/>
      <c r="O61" s="272"/>
      <c r="P61" s="272"/>
      <c r="Q61" s="433"/>
    </row>
    <row r="62" spans="1:234" s="94" customFormat="1" x14ac:dyDescent="0.25">
      <c r="A62" s="57" t="str">
        <f>IF(COUNTBLANK(B62)=1," ",COUNTA($B$12:B62))</f>
        <v xml:space="preserve"> </v>
      </c>
      <c r="B62" s="210"/>
      <c r="C62" s="327" t="s">
        <v>21</v>
      </c>
      <c r="D62" s="207" t="s">
        <v>32</v>
      </c>
      <c r="E62" s="211">
        <f>E61*F62</f>
        <v>402</v>
      </c>
      <c r="F62" s="211">
        <v>6</v>
      </c>
      <c r="G62" s="60"/>
      <c r="H62" s="60"/>
      <c r="I62" s="60"/>
      <c r="J62" s="60"/>
      <c r="K62" s="60"/>
      <c r="L62" s="278"/>
      <c r="M62" s="279"/>
      <c r="N62" s="272"/>
      <c r="O62" s="272"/>
      <c r="P62" s="272"/>
      <c r="Q62" s="433"/>
    </row>
    <row r="63" spans="1:234" s="94" customFormat="1" x14ac:dyDescent="0.25">
      <c r="A63" s="57" t="str">
        <f>IF(COUNTBLANK(B63)=1," ",COUNTA($B$12:B63))</f>
        <v xml:space="preserve"> </v>
      </c>
      <c r="B63" s="210"/>
      <c r="C63" s="448" t="s">
        <v>441</v>
      </c>
      <c r="D63" s="204" t="s">
        <v>17</v>
      </c>
      <c r="E63" s="211">
        <f>E61*F63</f>
        <v>10.049999999999999</v>
      </c>
      <c r="F63" s="211">
        <v>0.15</v>
      </c>
      <c r="G63" s="60"/>
      <c r="H63" s="60"/>
      <c r="I63" s="60"/>
      <c r="J63" s="60"/>
      <c r="K63" s="60"/>
      <c r="L63" s="278"/>
      <c r="M63" s="279"/>
      <c r="N63" s="272"/>
      <c r="O63" s="272"/>
      <c r="P63" s="272"/>
      <c r="Q63" s="433"/>
    </row>
    <row r="64" spans="1:234" s="93" customFormat="1" ht="22.5" x14ac:dyDescent="0.25">
      <c r="A64" s="57">
        <f>IF(COUNTBLANK(B64)=1," ",COUNTA($B$12:B64))</f>
        <v>19</v>
      </c>
      <c r="B64" s="206" t="s">
        <v>14</v>
      </c>
      <c r="C64" s="54" t="s">
        <v>903</v>
      </c>
      <c r="D64" s="743" t="s">
        <v>17</v>
      </c>
      <c r="E64" s="10">
        <v>97</v>
      </c>
      <c r="F64" s="619"/>
      <c r="G64" s="60"/>
      <c r="H64" s="271"/>
      <c r="I64" s="60"/>
      <c r="J64" s="60"/>
      <c r="K64" s="60"/>
      <c r="L64" s="278"/>
      <c r="M64" s="279"/>
      <c r="N64" s="272"/>
      <c r="O64" s="272"/>
      <c r="P64" s="272"/>
      <c r="Q64" s="433"/>
    </row>
    <row r="65" spans="1:17" s="93" customFormat="1" ht="22.5" x14ac:dyDescent="0.25">
      <c r="A65" s="57" t="str">
        <f>IF(COUNTBLANK(B65)=1," ",COUNTA($B$12:B65))</f>
        <v xml:space="preserve"> </v>
      </c>
      <c r="B65" s="365"/>
      <c r="C65" s="54" t="s">
        <v>393</v>
      </c>
      <c r="D65" s="743"/>
      <c r="E65" s="10"/>
      <c r="F65" s="619"/>
      <c r="G65" s="621"/>
      <c r="H65" s="622"/>
      <c r="I65" s="312"/>
      <c r="J65" s="312"/>
      <c r="K65" s="312"/>
      <c r="L65" s="314"/>
      <c r="M65" s="315"/>
      <c r="N65" s="315"/>
      <c r="O65" s="315"/>
      <c r="P65" s="315"/>
      <c r="Q65" s="315"/>
    </row>
    <row r="66" spans="1:17" s="93" customFormat="1" x14ac:dyDescent="0.25">
      <c r="A66" s="744"/>
      <c r="B66" s="224"/>
      <c r="C66" s="250"/>
      <c r="D66" s="723"/>
      <c r="E66" s="383"/>
      <c r="F66" s="227"/>
      <c r="G66" s="395"/>
      <c r="H66" s="393"/>
      <c r="I66" s="395"/>
      <c r="J66" s="395"/>
      <c r="K66" s="395"/>
      <c r="L66" s="309"/>
      <c r="M66" s="313"/>
      <c r="N66" s="313"/>
      <c r="O66" s="313"/>
      <c r="P66" s="313"/>
      <c r="Q66" s="313"/>
    </row>
    <row r="67" spans="1:17" s="343" customFormat="1" x14ac:dyDescent="0.25">
      <c r="A67" s="398"/>
      <c r="B67" s="74"/>
      <c r="C67" s="353" t="s">
        <v>179</v>
      </c>
      <c r="D67" s="17"/>
      <c r="E67" s="162"/>
      <c r="F67" s="162"/>
      <c r="G67" s="17"/>
      <c r="H67" s="17"/>
      <c r="I67" s="17"/>
      <c r="J67" s="17"/>
      <c r="K67" s="17"/>
      <c r="L67" s="17"/>
      <c r="M67" s="20">
        <f>SUM(M13:M64)</f>
        <v>0</v>
      </c>
      <c r="N67" s="20">
        <f>SUM(N13:N64)</f>
        <v>0</v>
      </c>
      <c r="O67" s="20">
        <f>SUM(O13:O64)</f>
        <v>0</v>
      </c>
      <c r="P67" s="20">
        <f>SUM(P13:P64)</f>
        <v>0</v>
      </c>
      <c r="Q67" s="20">
        <f>SUM(Q13:Q64)</f>
        <v>0</v>
      </c>
    </row>
    <row r="68" spans="1:17" s="348" customFormat="1" x14ac:dyDescent="0.25">
      <c r="A68" s="398"/>
      <c r="B68" s="74"/>
      <c r="C68" s="71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s="348" customFormat="1" x14ac:dyDescent="0.25">
      <c r="A69" s="398"/>
      <c r="B69" s="140" t="str">
        <f>sas</f>
        <v>Sastādīja:</v>
      </c>
      <c r="C69" s="8"/>
      <c r="D69" s="723"/>
      <c r="E69" s="723"/>
      <c r="F69" s="723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s="348" customFormat="1" x14ac:dyDescent="0.25">
      <c r="A70" s="398"/>
      <c r="B70" s="144"/>
      <c r="C70" s="378" t="s">
        <v>145</v>
      </c>
      <c r="D70" s="144"/>
      <c r="E70" s="144"/>
      <c r="F70" s="723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s="76" customFormat="1" x14ac:dyDescent="0.25">
      <c r="A71" s="398"/>
      <c r="B71" s="161"/>
      <c r="C71" s="143"/>
      <c r="D71" s="144"/>
      <c r="E71" s="144"/>
      <c r="F71" s="723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s="76" customFormat="1" x14ac:dyDescent="0.25">
      <c r="A72" s="398"/>
      <c r="B72" s="140" t="str">
        <f>dat</f>
        <v>Tāme sastādīta 201__. gada __.____________</v>
      </c>
      <c r="C72" s="8"/>
      <c r="D72" s="144"/>
      <c r="E72" s="144"/>
      <c r="F72" s="723"/>
      <c r="G72" s="78"/>
      <c r="H72" s="78"/>
      <c r="I72" s="78"/>
      <c r="J72" s="78"/>
      <c r="K72" s="78"/>
      <c r="M72" s="78"/>
      <c r="N72" s="78"/>
      <c r="O72" s="78"/>
      <c r="P72" s="78"/>
      <c r="Q72" s="78"/>
    </row>
    <row r="73" spans="1:17" s="343" customFormat="1" x14ac:dyDescent="0.25">
      <c r="A73" s="398"/>
      <c r="B73" s="161"/>
      <c r="C73" s="143"/>
      <c r="D73" s="144"/>
      <c r="E73" s="144"/>
      <c r="F73" s="723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s="343" customFormat="1" x14ac:dyDescent="0.25">
      <c r="A74" s="148"/>
      <c r="B74" s="144" t="s">
        <v>147</v>
      </c>
      <c r="C74" s="8"/>
      <c r="D74" s="287"/>
      <c r="E74" s="287"/>
      <c r="F74" s="739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</row>
    <row r="75" spans="1:17" s="343" customFormat="1" x14ac:dyDescent="0.25">
      <c r="A75" s="398"/>
      <c r="B75" s="144"/>
      <c r="C75" s="378" t="s">
        <v>145</v>
      </c>
      <c r="D75" s="287"/>
      <c r="E75" s="287"/>
      <c r="F75" s="739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17" x14ac:dyDescent="0.25">
      <c r="A76" s="398"/>
      <c r="B76" s="161"/>
      <c r="C76" s="8" t="s">
        <v>148</v>
      </c>
      <c r="D76" s="287"/>
      <c r="E76" s="287"/>
      <c r="F76" s="739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x14ac:dyDescent="0.25">
      <c r="A77" s="399"/>
      <c r="B77" s="18"/>
      <c r="C77" s="35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x14ac:dyDescent="0.25">
      <c r="A78" s="399"/>
      <c r="B78" s="18"/>
      <c r="C78" s="354"/>
      <c r="D78" s="18"/>
      <c r="E78" s="18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</row>
    <row r="79" spans="1:17" s="76" customFormat="1" x14ac:dyDescent="0.25">
      <c r="A79" s="398"/>
      <c r="B79" s="74"/>
      <c r="C79" s="35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</row>
    <row r="80" spans="1:17" s="76" customFormat="1" x14ac:dyDescent="0.25">
      <c r="A80" s="398"/>
      <c r="B80" s="74"/>
      <c r="C80" s="35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</row>
    <row r="81" spans="1:17" s="76" customFormat="1" x14ac:dyDescent="0.25">
      <c r="A81" s="398"/>
      <c r="B81" s="74"/>
      <c r="C81" s="354"/>
      <c r="D81" s="74"/>
      <c r="E81" s="74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s="76" customFormat="1" x14ac:dyDescent="0.25">
      <c r="A82" s="400"/>
      <c r="B82" s="78"/>
      <c r="C82" s="71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s="343" customFormat="1" x14ac:dyDescent="0.25">
      <c r="A83" s="400"/>
      <c r="B83" s="78"/>
      <c r="C83" s="71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x14ac:dyDescent="0.25">
      <c r="A84" s="400"/>
      <c r="B84" s="78"/>
      <c r="C84" s="71"/>
      <c r="D84" s="78"/>
      <c r="E84" s="7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s="343" customFormat="1" x14ac:dyDescent="0.25">
      <c r="A85" s="399"/>
      <c r="B85" s="18"/>
      <c r="C85" s="354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s="343" customFormat="1" x14ac:dyDescent="0.25">
      <c r="A86" s="399"/>
      <c r="B86" s="18"/>
      <c r="C86" s="35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s="343" customFormat="1" x14ac:dyDescent="0.25">
      <c r="A87" s="399"/>
      <c r="B87" s="18"/>
      <c r="C87" s="354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x14ac:dyDescent="0.25">
      <c r="A88" s="399"/>
      <c r="B88" s="18"/>
      <c r="C88" s="354"/>
      <c r="D88" s="18"/>
      <c r="E88" s="18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</row>
    <row r="89" spans="1:17" x14ac:dyDescent="0.25">
      <c r="A89" s="398"/>
      <c r="B89" s="74"/>
      <c r="C89" s="354"/>
      <c r="D89" s="74"/>
      <c r="E89" s="74"/>
      <c r="F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s="348" customFormat="1" x14ac:dyDescent="0.25">
      <c r="A90" s="400"/>
      <c r="B90" s="78"/>
      <c r="C90" s="71"/>
      <c r="D90" s="78"/>
      <c r="E90" s="78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</row>
    <row r="91" spans="1:17" s="348" customFormat="1" x14ac:dyDescent="0.25">
      <c r="A91" s="398"/>
      <c r="B91" s="74"/>
      <c r="C91" s="35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</row>
    <row r="92" spans="1:17" s="348" customFormat="1" x14ac:dyDescent="0.25">
      <c r="A92" s="398"/>
      <c r="B92" s="74"/>
      <c r="C92" s="35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</row>
    <row r="93" spans="1:17" s="348" customFormat="1" x14ac:dyDescent="0.25">
      <c r="A93" s="398"/>
      <c r="B93" s="74"/>
      <c r="C93" s="354"/>
      <c r="D93" s="74"/>
      <c r="E93" s="74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s="76" customFormat="1" x14ac:dyDescent="0.25">
      <c r="A94" s="400"/>
      <c r="B94" s="78"/>
      <c r="C94" s="71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s="76" customFormat="1" x14ac:dyDescent="0.25">
      <c r="A95" s="400"/>
      <c r="B95" s="78"/>
      <c r="C95" s="71"/>
      <c r="D95" s="78"/>
      <c r="E95" s="78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s="343" customFormat="1" x14ac:dyDescent="0.25">
      <c r="A96" s="401"/>
      <c r="B96" s="22"/>
      <c r="C96" s="7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s="343" customFormat="1" x14ac:dyDescent="0.25">
      <c r="A97" s="401"/>
      <c r="B97" s="22"/>
      <c r="C97" s="7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s="343" customFormat="1" x14ac:dyDescent="0.25">
      <c r="A98" s="401"/>
      <c r="B98" s="22"/>
      <c r="C98" s="7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401"/>
      <c r="B99" s="22"/>
      <c r="C99" s="71"/>
      <c r="D99" s="22"/>
      <c r="E99" s="2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s="82" customFormat="1" x14ac:dyDescent="0.25">
      <c r="A100" s="399"/>
      <c r="B100" s="18"/>
      <c r="C100" s="354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s="82" customFormat="1" x14ac:dyDescent="0.25">
      <c r="A101" s="399"/>
      <c r="B101" s="18"/>
      <c r="C101" s="354"/>
      <c r="D101" s="18"/>
      <c r="E101" s="18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</row>
    <row r="102" spans="1:17" x14ac:dyDescent="0.25">
      <c r="A102" s="398"/>
      <c r="B102" s="74"/>
      <c r="C102" s="35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</row>
    <row r="103" spans="1:17" x14ac:dyDescent="0.25">
      <c r="A103" s="398"/>
      <c r="B103" s="74"/>
      <c r="C103" s="35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</row>
    <row r="104" spans="1:17" s="76" customFormat="1" x14ac:dyDescent="0.25">
      <c r="A104" s="398"/>
      <c r="B104" s="74"/>
      <c r="C104" s="354"/>
      <c r="D104" s="74"/>
      <c r="E104" s="74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s="76" customFormat="1" x14ac:dyDescent="0.25">
      <c r="A105" s="400"/>
      <c r="B105" s="78"/>
      <c r="C105" s="71"/>
      <c r="D105" s="78"/>
      <c r="E105" s="78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</row>
    <row r="106" spans="1:17" s="76" customFormat="1" x14ac:dyDescent="0.25">
      <c r="A106" s="402"/>
      <c r="B106" s="82"/>
      <c r="C106" s="355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</row>
    <row r="107" spans="1:17" x14ac:dyDescent="0.25">
      <c r="A107" s="402"/>
      <c r="B107" s="82"/>
      <c r="C107" s="355"/>
      <c r="D107" s="82"/>
      <c r="E107" s="82"/>
      <c r="F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s="82" customFormat="1" x14ac:dyDescent="0.25">
      <c r="A108" s="400"/>
      <c r="B108" s="78"/>
      <c r="C108" s="71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s="82" customFormat="1" x14ac:dyDescent="0.25">
      <c r="A109" s="400"/>
      <c r="B109" s="78"/>
      <c r="C109" s="71"/>
      <c r="D109" s="78"/>
      <c r="E109" s="7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s="82" customFormat="1" x14ac:dyDescent="0.25">
      <c r="A110" s="399"/>
      <c r="B110" s="18"/>
      <c r="C110" s="354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s="82" customFormat="1" x14ac:dyDescent="0.25">
      <c r="A111" s="399"/>
      <c r="B111" s="18"/>
      <c r="C111" s="354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s="82" customFormat="1" x14ac:dyDescent="0.25">
      <c r="A112" s="399"/>
      <c r="B112" s="18"/>
      <c r="C112" s="354"/>
      <c r="D112" s="18"/>
      <c r="E112" s="1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s="82" customFormat="1" x14ac:dyDescent="0.25">
      <c r="A113" s="400"/>
      <c r="B113" s="78"/>
      <c r="C113" s="71"/>
      <c r="D113" s="78"/>
      <c r="E113" s="78"/>
    </row>
    <row r="114" spans="1:17" s="82" customFormat="1" x14ac:dyDescent="0.25">
      <c r="A114" s="402"/>
      <c r="C114" s="355"/>
    </row>
    <row r="115" spans="1:17" s="82" customFormat="1" x14ac:dyDescent="0.25">
      <c r="A115" s="402"/>
      <c r="C115" s="355"/>
    </row>
    <row r="116" spans="1:17" s="82" customFormat="1" x14ac:dyDescent="0.25">
      <c r="A116" s="402"/>
      <c r="C116" s="355"/>
    </row>
    <row r="117" spans="1:17" s="82" customFormat="1" x14ac:dyDescent="0.25">
      <c r="A117" s="402"/>
      <c r="C117" s="355"/>
    </row>
    <row r="118" spans="1:17" s="82" customFormat="1" x14ac:dyDescent="0.25">
      <c r="A118" s="402"/>
      <c r="C118" s="355"/>
    </row>
    <row r="119" spans="1:17" s="82" customFormat="1" x14ac:dyDescent="0.25">
      <c r="A119" s="402"/>
      <c r="C119" s="355"/>
    </row>
    <row r="120" spans="1:17" s="82" customFormat="1" x14ac:dyDescent="0.25">
      <c r="A120" s="402"/>
      <c r="C120" s="355"/>
    </row>
    <row r="121" spans="1:17" s="82" customFormat="1" x14ac:dyDescent="0.25">
      <c r="A121" s="402"/>
      <c r="C121" s="355"/>
    </row>
    <row r="122" spans="1:17" s="82" customFormat="1" x14ac:dyDescent="0.25">
      <c r="A122" s="402"/>
      <c r="C122" s="355"/>
    </row>
    <row r="123" spans="1:17" s="82" customFormat="1" x14ac:dyDescent="0.25">
      <c r="A123" s="402"/>
      <c r="C123" s="355"/>
    </row>
    <row r="124" spans="1:17" x14ac:dyDescent="0.25">
      <c r="A124" s="402"/>
      <c r="B124" s="82"/>
      <c r="C124" s="355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</row>
    <row r="125" spans="1:17" x14ac:dyDescent="0.25">
      <c r="A125" s="402"/>
      <c r="B125" s="82"/>
      <c r="C125" s="355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</row>
    <row r="126" spans="1:17" x14ac:dyDescent="0.25">
      <c r="A126" s="402"/>
      <c r="B126" s="82"/>
      <c r="C126" s="355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</row>
    <row r="127" spans="1:17" x14ac:dyDescent="0.25">
      <c r="A127" s="402"/>
      <c r="B127" s="82"/>
      <c r="C127" s="355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</row>
    <row r="128" spans="1:17" x14ac:dyDescent="0.25">
      <c r="A128" s="402"/>
      <c r="B128" s="82"/>
      <c r="C128" s="355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</row>
    <row r="129" spans="1:7" x14ac:dyDescent="0.25">
      <c r="A129" s="402"/>
      <c r="B129" s="82"/>
      <c r="C129" s="355"/>
      <c r="D129" s="82"/>
      <c r="E129" s="82"/>
      <c r="G129" s="733"/>
    </row>
    <row r="130" spans="1:7" x14ac:dyDescent="0.25">
      <c r="G130" s="733"/>
    </row>
    <row r="131" spans="1:7" x14ac:dyDescent="0.25">
      <c r="G131" s="733"/>
    </row>
    <row r="132" spans="1:7" x14ac:dyDescent="0.25">
      <c r="G132" s="733"/>
    </row>
    <row r="133" spans="1:7" x14ac:dyDescent="0.25">
      <c r="G133" s="733"/>
    </row>
    <row r="134" spans="1:7" x14ac:dyDescent="0.25">
      <c r="G134" s="733"/>
    </row>
    <row r="135" spans="1:7" x14ac:dyDescent="0.25">
      <c r="G135" s="733"/>
    </row>
    <row r="136" spans="1:7" x14ac:dyDescent="0.25">
      <c r="G136" s="733"/>
    </row>
    <row r="137" spans="1:7" x14ac:dyDescent="0.25">
      <c r="G137" s="733"/>
    </row>
  </sheetData>
  <autoFilter ref="A11:IT67" xr:uid="{00000000-0009-0000-0000-000014000000}"/>
  <mergeCells count="7"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HB137"/>
  <sheetViews>
    <sheetView view="pageBreakPreview" topLeftCell="A31" zoomScale="85" zoomScaleNormal="85" zoomScaleSheetLayoutView="85" workbookViewId="0">
      <selection activeCell="C39" sqref="C39"/>
    </sheetView>
  </sheetViews>
  <sheetFormatPr defaultColWidth="8.7109375" defaultRowHeight="11.25" x14ac:dyDescent="0.25"/>
  <cols>
    <col min="1" max="1" width="3.7109375" style="68" customWidth="1"/>
    <col min="2" max="2" width="4.42578125" style="733" customWidth="1"/>
    <col min="3" max="3" width="49.42578125" style="84" customWidth="1"/>
    <col min="4" max="4" width="8.5703125" style="733" customWidth="1"/>
    <col min="5" max="5" width="7.28515625" style="733" customWidth="1"/>
    <col min="6" max="6" width="6.42578125" style="733" hidden="1" customWidth="1"/>
    <col min="7" max="7" width="7.5703125" style="78" customWidth="1"/>
    <col min="8" max="9" width="7.5703125" style="733" customWidth="1"/>
    <col min="10" max="10" width="7.28515625" style="733" customWidth="1"/>
    <col min="11" max="13" width="7.5703125" style="733" customWidth="1"/>
    <col min="14" max="14" width="8.28515625" style="733" customWidth="1"/>
    <col min="15" max="15" width="8.85546875" style="733" customWidth="1"/>
    <col min="16" max="16" width="7.5703125" style="733" customWidth="1"/>
    <col min="17" max="17" width="8.42578125" style="733" customWidth="1"/>
    <col min="18" max="16384" width="8.7109375" style="733"/>
  </cols>
  <sheetData>
    <row r="1" spans="1:17" s="343" customFormat="1" ht="12" thickBot="1" x14ac:dyDescent="0.3">
      <c r="B1" s="64"/>
      <c r="C1" s="64"/>
      <c r="D1" s="64"/>
      <c r="E1" s="64"/>
      <c r="F1" s="64"/>
      <c r="G1" s="746" t="s">
        <v>6</v>
      </c>
      <c r="H1" s="1">
        <f>KPDV!B30</f>
        <v>18</v>
      </c>
      <c r="I1" s="342"/>
      <c r="J1" s="342"/>
      <c r="K1" s="342"/>
      <c r="L1" s="342"/>
      <c r="M1" s="342"/>
      <c r="N1" s="342"/>
      <c r="O1" s="342"/>
      <c r="P1" s="342"/>
      <c r="Q1" s="342"/>
    </row>
    <row r="2" spans="1:17" s="343" customFormat="1" ht="12" thickBot="1" x14ac:dyDescent="0.3">
      <c r="A2" s="396"/>
      <c r="B2" s="342"/>
      <c r="C2" s="349" t="s">
        <v>811</v>
      </c>
      <c r="D2" s="342"/>
      <c r="E2" s="342"/>
      <c r="F2" s="342"/>
      <c r="G2" s="344"/>
      <c r="H2" s="184"/>
      <c r="I2" s="342"/>
      <c r="J2" s="342"/>
      <c r="K2" s="342"/>
      <c r="L2" s="342"/>
      <c r="M2" s="342"/>
      <c r="N2" s="342"/>
      <c r="O2" s="342"/>
      <c r="P2" s="342"/>
      <c r="Q2" s="342"/>
    </row>
    <row r="3" spans="1:17" s="343" customFormat="1" x14ac:dyDescent="0.25">
      <c r="A3" s="190" t="str">
        <f>nos</f>
        <v>Būves nosaukums:  Dzīvojamās māja</v>
      </c>
      <c r="B3" s="199"/>
      <c r="C3" s="350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7" s="343" customFormat="1" x14ac:dyDescent="0.25">
      <c r="A4" s="168" t="str">
        <f>obj</f>
        <v>Objekta nosaukums: Dzīvojamās ēkas fasādes vienkāršota atjaunošana</v>
      </c>
      <c r="B4" s="199"/>
      <c r="C4" s="350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</row>
    <row r="5" spans="1:17" s="343" customFormat="1" x14ac:dyDescent="0.25">
      <c r="A5" s="168" t="str">
        <f>adres</f>
        <v>Objekta adrese: Aisteres iela 7, Liepājā</v>
      </c>
      <c r="B5" s="199"/>
      <c r="C5" s="350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345"/>
    </row>
    <row r="6" spans="1:17" s="343" customFormat="1" ht="12" thickBot="1" x14ac:dyDescent="0.3">
      <c r="A6" s="168" t="str">
        <f>nr</f>
        <v>Pasūtījuma Nr.WS-41-17</v>
      </c>
      <c r="B6" s="199"/>
      <c r="C6" s="350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7" s="343" customFormat="1" ht="12" thickBot="1" x14ac:dyDescent="0.3">
      <c r="A7" s="190"/>
      <c r="B7" s="187"/>
      <c r="C7" s="351" t="s">
        <v>695</v>
      </c>
      <c r="D7" s="162"/>
      <c r="E7" s="187" t="s">
        <v>720</v>
      </c>
      <c r="G7" s="187" t="s">
        <v>143</v>
      </c>
      <c r="H7" s="187"/>
      <c r="I7" s="187"/>
      <c r="J7" s="187"/>
      <c r="K7" s="187"/>
      <c r="L7" s="187"/>
      <c r="M7" s="187"/>
      <c r="N7" s="187"/>
      <c r="O7" s="187"/>
      <c r="P7" s="187" t="s">
        <v>144</v>
      </c>
      <c r="Q7" s="6">
        <f>Q67</f>
        <v>0</v>
      </c>
    </row>
    <row r="8" spans="1:17" s="343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346"/>
      <c r="P8" s="346" t="str">
        <f>KPDV!C47</f>
        <v>Tāme sastādīta 201__. gada __.____________</v>
      </c>
      <c r="Q8" s="344"/>
    </row>
    <row r="9" spans="1:17" x14ac:dyDescent="0.25">
      <c r="A9" s="830" t="s">
        <v>7</v>
      </c>
      <c r="B9" s="831" t="s">
        <v>8</v>
      </c>
      <c r="C9" s="843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ht="51.75" x14ac:dyDescent="0.25">
      <c r="A10" s="830"/>
      <c r="B10" s="831"/>
      <c r="C10" s="843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83" customFormat="1" x14ac:dyDescent="0.25">
      <c r="A11" s="397">
        <v>1</v>
      </c>
      <c r="B11" s="235">
        <f>A11+1</f>
        <v>2</v>
      </c>
      <c r="C11" s="352">
        <f>B11+1</f>
        <v>3</v>
      </c>
      <c r="D11" s="235">
        <f>C11+1</f>
        <v>4</v>
      </c>
      <c r="E11" s="235">
        <f>D11+1</f>
        <v>5</v>
      </c>
      <c r="F11" s="235"/>
      <c r="G11" s="235">
        <f>E11+1</f>
        <v>6</v>
      </c>
      <c r="H11" s="235">
        <f t="shared" ref="H11:Q11" si="0">G11+1</f>
        <v>7</v>
      </c>
      <c r="I11" s="235">
        <f t="shared" si="0"/>
        <v>8</v>
      </c>
      <c r="J11" s="235">
        <f t="shared" si="0"/>
        <v>9</v>
      </c>
      <c r="K11" s="235">
        <f t="shared" si="0"/>
        <v>10</v>
      </c>
      <c r="L11" s="235">
        <f t="shared" si="0"/>
        <v>11</v>
      </c>
      <c r="M11" s="235">
        <f t="shared" si="0"/>
        <v>12</v>
      </c>
      <c r="N11" s="235">
        <f t="shared" si="0"/>
        <v>13</v>
      </c>
      <c r="O11" s="235">
        <f t="shared" si="0"/>
        <v>14</v>
      </c>
      <c r="P11" s="235">
        <f t="shared" si="0"/>
        <v>15</v>
      </c>
      <c r="Q11" s="235">
        <f t="shared" si="0"/>
        <v>16</v>
      </c>
    </row>
    <row r="12" spans="1:17" s="724" customFormat="1" ht="22.5" x14ac:dyDescent="0.25">
      <c r="A12" s="57" t="str">
        <f>IF(COUNTBLANK(B12)=1," ",COUNTA($B$12:B12))</f>
        <v xml:space="preserve"> </v>
      </c>
      <c r="B12" s="664"/>
      <c r="C12" s="672" t="s">
        <v>812</v>
      </c>
      <c r="D12" s="664"/>
      <c r="E12" s="664"/>
      <c r="F12" s="664"/>
      <c r="G12" s="664"/>
      <c r="H12" s="665"/>
      <c r="I12" s="312"/>
      <c r="J12" s="312"/>
      <c r="K12" s="312"/>
      <c r="L12" s="314"/>
      <c r="M12" s="315"/>
      <c r="N12" s="315"/>
      <c r="O12" s="315"/>
      <c r="P12" s="805"/>
      <c r="Q12" s="315"/>
    </row>
    <row r="13" spans="1:17" s="162" customFormat="1" x14ac:dyDescent="0.25">
      <c r="A13" s="57">
        <f>IF(COUNTBLANK(B13)=1," ",COUNTA($B$12:B13))</f>
        <v>1</v>
      </c>
      <c r="B13" s="206" t="s">
        <v>14</v>
      </c>
      <c r="C13" s="54" t="s">
        <v>813</v>
      </c>
      <c r="D13" s="743" t="s">
        <v>32</v>
      </c>
      <c r="E13" s="377">
        <v>28</v>
      </c>
      <c r="F13" s="618"/>
      <c r="G13" s="34"/>
      <c r="H13" s="271"/>
      <c r="I13" s="34"/>
      <c r="J13" s="15"/>
      <c r="K13" s="34"/>
      <c r="L13" s="314"/>
      <c r="M13" s="315"/>
      <c r="N13" s="315"/>
      <c r="O13" s="315"/>
      <c r="P13" s="806"/>
      <c r="Q13" s="433"/>
    </row>
    <row r="14" spans="1:17" s="93" customFormat="1" ht="22.5" x14ac:dyDescent="0.25">
      <c r="A14" s="57" t="str">
        <f>IF(COUNTBLANK(B14)=1," ",COUNTA($B$12:B14))</f>
        <v xml:space="preserve"> </v>
      </c>
      <c r="B14" s="743"/>
      <c r="C14" s="54" t="s">
        <v>374</v>
      </c>
      <c r="D14" s="743" t="s">
        <v>23</v>
      </c>
      <c r="E14" s="10">
        <v>169.09199999999998</v>
      </c>
      <c r="F14" s="619">
        <v>6.04</v>
      </c>
      <c r="G14" s="620"/>
      <c r="H14" s="619"/>
      <c r="I14" s="136"/>
      <c r="J14" s="136"/>
      <c r="K14" s="136"/>
      <c r="L14" s="314"/>
      <c r="M14" s="315"/>
      <c r="N14" s="315"/>
      <c r="O14" s="315"/>
      <c r="P14" s="806"/>
      <c r="Q14" s="433"/>
    </row>
    <row r="15" spans="1:17" s="93" customFormat="1" ht="22.5" x14ac:dyDescent="0.25">
      <c r="A15" s="57" t="str">
        <f>IF(COUNTBLANK(B15)=1," ",COUNTA($B$12:B15))</f>
        <v xml:space="preserve"> </v>
      </c>
      <c r="B15" s="729"/>
      <c r="C15" s="54" t="s">
        <v>375</v>
      </c>
      <c r="D15" s="743" t="s">
        <v>23</v>
      </c>
      <c r="E15" s="10">
        <v>1610.9184</v>
      </c>
      <c r="F15" s="619">
        <v>57.53</v>
      </c>
      <c r="G15" s="619"/>
      <c r="H15" s="619"/>
      <c r="I15" s="136"/>
      <c r="J15" s="136"/>
      <c r="K15" s="136"/>
      <c r="L15" s="314"/>
      <c r="M15" s="315"/>
      <c r="N15" s="315"/>
      <c r="O15" s="315"/>
      <c r="P15" s="806"/>
      <c r="Q15" s="433"/>
    </row>
    <row r="16" spans="1:17" s="162" customFormat="1" x14ac:dyDescent="0.25">
      <c r="A16" s="57" t="str">
        <f>IF(COUNTBLANK(B16)=1," ",COUNTA($B$12:B16))</f>
        <v xml:space="preserve"> </v>
      </c>
      <c r="B16" s="729"/>
      <c r="C16" s="54" t="s">
        <v>376</v>
      </c>
      <c r="D16" s="743" t="s">
        <v>23</v>
      </c>
      <c r="E16" s="10">
        <v>87.360000000000014</v>
      </c>
      <c r="F16" s="619">
        <v>3.12</v>
      </c>
      <c r="G16" s="619"/>
      <c r="H16" s="619"/>
      <c r="I16" s="136"/>
      <c r="J16" s="136"/>
      <c r="K16" s="136"/>
      <c r="L16" s="314"/>
      <c r="M16" s="315"/>
      <c r="N16" s="315"/>
      <c r="O16" s="315"/>
      <c r="P16" s="806"/>
      <c r="Q16" s="433"/>
    </row>
    <row r="17" spans="1:210" s="162" customFormat="1" x14ac:dyDescent="0.25">
      <c r="A17" s="57" t="str">
        <f>IF(COUNTBLANK(B17)=1," ",COUNTA($B$12:B17))</f>
        <v xml:space="preserve"> </v>
      </c>
      <c r="B17" s="729"/>
      <c r="C17" s="54" t="s">
        <v>377</v>
      </c>
      <c r="D17" s="743" t="s">
        <v>32</v>
      </c>
      <c r="E17" s="10">
        <v>112</v>
      </c>
      <c r="F17" s="620">
        <v>5.67</v>
      </c>
      <c r="G17" s="619"/>
      <c r="H17" s="619"/>
      <c r="I17" s="136"/>
      <c r="J17" s="136"/>
      <c r="K17" s="136"/>
      <c r="L17" s="314"/>
      <c r="M17" s="315"/>
      <c r="N17" s="315"/>
      <c r="O17" s="315"/>
      <c r="P17" s="806"/>
      <c r="Q17" s="433"/>
    </row>
    <row r="18" spans="1:210" s="162" customFormat="1" x14ac:dyDescent="0.25">
      <c r="A18" s="57" t="str">
        <f>IF(COUNTBLANK(B18)=1," ",COUNTA($B$12:B18))</f>
        <v xml:space="preserve"> </v>
      </c>
      <c r="B18" s="729"/>
      <c r="C18" s="54" t="s">
        <v>378</v>
      </c>
      <c r="D18" s="743" t="s">
        <v>23</v>
      </c>
      <c r="E18" s="10">
        <v>1568.9856</v>
      </c>
      <c r="F18" s="619">
        <v>56.035200000000003</v>
      </c>
      <c r="G18" s="619"/>
      <c r="H18" s="619"/>
      <c r="I18" s="136"/>
      <c r="J18" s="136"/>
      <c r="K18" s="136"/>
      <c r="L18" s="314"/>
      <c r="M18" s="315"/>
      <c r="N18" s="315"/>
      <c r="O18" s="315"/>
      <c r="P18" s="806"/>
      <c r="Q18" s="433"/>
    </row>
    <row r="19" spans="1:210" s="723" customFormat="1" ht="15" x14ac:dyDescent="0.25">
      <c r="A19" s="57" t="str">
        <f>IF(COUNTBLANK(B19)=1," ",COUNTA($B$12:B19))</f>
        <v xml:space="preserve"> </v>
      </c>
      <c r="B19" s="729"/>
      <c r="C19" s="54" t="s">
        <v>379</v>
      </c>
      <c r="D19" s="743" t="s">
        <v>32</v>
      </c>
      <c r="E19" s="377">
        <v>280</v>
      </c>
      <c r="F19" s="620">
        <v>10</v>
      </c>
      <c r="G19" s="619"/>
      <c r="H19" s="619"/>
      <c r="I19" s="312"/>
      <c r="J19" s="312"/>
      <c r="K19" s="312"/>
      <c r="L19" s="314"/>
      <c r="M19" s="315"/>
      <c r="N19" s="315"/>
      <c r="O19" s="315"/>
      <c r="P19" s="806"/>
      <c r="Q19" s="433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7"/>
      <c r="BK19" s="347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47"/>
      <c r="BY19" s="347"/>
      <c r="BZ19" s="347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7"/>
      <c r="CM19" s="347"/>
      <c r="CN19" s="347"/>
      <c r="CO19" s="347"/>
      <c r="CP19" s="347"/>
      <c r="CQ19" s="347"/>
      <c r="CR19" s="347"/>
      <c r="CS19" s="347"/>
      <c r="CT19" s="347"/>
      <c r="CU19" s="347"/>
      <c r="CV19" s="347"/>
      <c r="CW19" s="347"/>
      <c r="CX19" s="347"/>
      <c r="CY19" s="347"/>
      <c r="CZ19" s="347"/>
      <c r="DA19" s="347"/>
      <c r="DB19" s="347"/>
      <c r="DC19" s="347"/>
      <c r="DD19" s="347"/>
      <c r="DE19" s="347"/>
      <c r="DF19" s="347"/>
      <c r="DG19" s="347"/>
      <c r="DH19" s="347"/>
      <c r="DI19" s="347"/>
      <c r="DJ19" s="347"/>
      <c r="DK19" s="347"/>
      <c r="DL19" s="347"/>
      <c r="DM19" s="347"/>
      <c r="DN19" s="347"/>
      <c r="DO19" s="347"/>
      <c r="DP19" s="347"/>
      <c r="DQ19" s="347"/>
      <c r="DR19" s="347"/>
      <c r="DS19" s="347"/>
      <c r="DT19" s="347"/>
      <c r="DU19" s="347"/>
      <c r="DV19" s="347"/>
      <c r="DW19" s="347"/>
      <c r="DX19" s="347"/>
      <c r="DY19" s="347"/>
      <c r="DZ19" s="347"/>
      <c r="EA19" s="347"/>
      <c r="EB19" s="347"/>
      <c r="EC19" s="347"/>
      <c r="ED19" s="347"/>
      <c r="EE19" s="347"/>
      <c r="EF19" s="347"/>
      <c r="EG19" s="347"/>
      <c r="EH19" s="347"/>
      <c r="EI19" s="347"/>
      <c r="EJ19" s="347"/>
      <c r="EK19" s="347"/>
      <c r="EL19" s="347"/>
      <c r="EM19" s="347"/>
      <c r="EN19" s="347"/>
      <c r="EO19" s="347"/>
      <c r="EP19" s="347"/>
      <c r="EQ19" s="347"/>
      <c r="ER19" s="347"/>
      <c r="ES19" s="347"/>
      <c r="ET19" s="347"/>
      <c r="EU19" s="347"/>
      <c r="EV19" s="347"/>
      <c r="EW19" s="347"/>
      <c r="EX19" s="347"/>
      <c r="EY19" s="347"/>
      <c r="EZ19" s="347"/>
      <c r="FA19" s="347"/>
      <c r="FB19" s="347"/>
      <c r="FC19" s="347"/>
      <c r="FD19" s="347"/>
      <c r="FE19" s="347"/>
      <c r="FF19" s="347"/>
      <c r="FG19" s="347"/>
      <c r="FH19" s="347"/>
      <c r="FI19" s="347"/>
      <c r="FJ19" s="347"/>
      <c r="FK19" s="347"/>
      <c r="FL19" s="347"/>
      <c r="FM19" s="347"/>
      <c r="FN19" s="347"/>
      <c r="FO19" s="347"/>
      <c r="FP19" s="347"/>
      <c r="FQ19" s="347"/>
      <c r="FR19" s="347"/>
      <c r="FS19" s="347"/>
      <c r="FT19" s="347"/>
      <c r="FU19" s="347"/>
      <c r="FV19" s="347"/>
      <c r="FW19" s="347"/>
      <c r="FX19" s="347"/>
      <c r="FY19" s="347"/>
      <c r="FZ19" s="347"/>
      <c r="GA19" s="347"/>
      <c r="GB19" s="347"/>
      <c r="GC19" s="347"/>
      <c r="GD19" s="347"/>
      <c r="GE19" s="347"/>
      <c r="GF19" s="347"/>
      <c r="GG19" s="347"/>
      <c r="GH19" s="347"/>
      <c r="GI19" s="347"/>
      <c r="GJ19" s="347"/>
      <c r="GK19" s="347"/>
      <c r="GL19" s="347"/>
      <c r="GM19" s="347"/>
      <c r="GN19" s="347"/>
      <c r="GO19" s="347"/>
      <c r="GP19" s="347"/>
      <c r="GQ19" s="347"/>
      <c r="GR19" s="347"/>
      <c r="GS19" s="347"/>
      <c r="GT19" s="347"/>
      <c r="GU19" s="347"/>
      <c r="GV19" s="347"/>
      <c r="GW19" s="347"/>
      <c r="GX19" s="347"/>
      <c r="GY19" s="347"/>
      <c r="GZ19" s="347"/>
      <c r="HA19" s="347"/>
      <c r="HB19" s="347"/>
    </row>
    <row r="20" spans="1:210" s="723" customFormat="1" ht="33.75" x14ac:dyDescent="0.25">
      <c r="A20" s="57" t="str">
        <f>IF(COUNTBLANK(B20)=1," ",COUNTA($B$12:B20))</f>
        <v xml:space="preserve"> </v>
      </c>
      <c r="B20" s="729"/>
      <c r="C20" s="54" t="s">
        <v>380</v>
      </c>
      <c r="D20" s="743" t="s">
        <v>32</v>
      </c>
      <c r="E20" s="377">
        <v>280</v>
      </c>
      <c r="F20" s="377">
        <v>10</v>
      </c>
      <c r="G20" s="377"/>
      <c r="H20" s="377"/>
      <c r="I20" s="312"/>
      <c r="J20" s="312"/>
      <c r="K20" s="312"/>
      <c r="L20" s="314"/>
      <c r="M20" s="315"/>
      <c r="N20" s="315"/>
      <c r="O20" s="315"/>
      <c r="P20" s="806"/>
      <c r="Q20" s="433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7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7"/>
      <c r="BX20" s="347"/>
      <c r="BY20" s="347"/>
      <c r="BZ20" s="347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7"/>
      <c r="CM20" s="347"/>
      <c r="CN20" s="347"/>
      <c r="CO20" s="347"/>
      <c r="CP20" s="347"/>
      <c r="CQ20" s="347"/>
      <c r="CR20" s="347"/>
      <c r="CS20" s="347"/>
      <c r="CT20" s="347"/>
      <c r="CU20" s="347"/>
      <c r="CV20" s="347"/>
      <c r="CW20" s="347"/>
      <c r="CX20" s="347"/>
      <c r="CY20" s="347"/>
      <c r="CZ20" s="347"/>
      <c r="DA20" s="347"/>
      <c r="DB20" s="347"/>
      <c r="DC20" s="347"/>
      <c r="DD20" s="347"/>
      <c r="DE20" s="347"/>
      <c r="DF20" s="347"/>
      <c r="DG20" s="347"/>
      <c r="DH20" s="347"/>
      <c r="DI20" s="347"/>
      <c r="DJ20" s="347"/>
      <c r="DK20" s="347"/>
      <c r="DL20" s="347"/>
      <c r="DM20" s="347"/>
      <c r="DN20" s="347"/>
      <c r="DO20" s="347"/>
      <c r="DP20" s="347"/>
      <c r="DQ20" s="347"/>
      <c r="DR20" s="347"/>
      <c r="DS20" s="347"/>
      <c r="DT20" s="347"/>
      <c r="DU20" s="347"/>
      <c r="DV20" s="347"/>
      <c r="DW20" s="347"/>
      <c r="DX20" s="347"/>
      <c r="DY20" s="347"/>
      <c r="DZ20" s="347"/>
      <c r="EA20" s="347"/>
      <c r="EB20" s="347"/>
      <c r="EC20" s="347"/>
      <c r="ED20" s="347"/>
      <c r="EE20" s="347"/>
      <c r="EF20" s="347"/>
      <c r="EG20" s="347"/>
      <c r="EH20" s="347"/>
      <c r="EI20" s="347"/>
      <c r="EJ20" s="347"/>
      <c r="EK20" s="347"/>
      <c r="EL20" s="347"/>
      <c r="EM20" s="347"/>
      <c r="EN20" s="347"/>
      <c r="EO20" s="347"/>
      <c r="EP20" s="347"/>
      <c r="EQ20" s="347"/>
      <c r="ER20" s="347"/>
      <c r="ES20" s="347"/>
      <c r="ET20" s="347"/>
      <c r="EU20" s="347"/>
      <c r="EV20" s="347"/>
      <c r="EW20" s="347"/>
      <c r="EX20" s="347"/>
      <c r="EY20" s="347"/>
      <c r="EZ20" s="347"/>
      <c r="FA20" s="347"/>
      <c r="FB20" s="347"/>
      <c r="FC20" s="347"/>
      <c r="FD20" s="347"/>
      <c r="FE20" s="347"/>
      <c r="FF20" s="347"/>
      <c r="FG20" s="347"/>
      <c r="FH20" s="347"/>
      <c r="FI20" s="347"/>
      <c r="FJ20" s="347"/>
      <c r="FK20" s="347"/>
      <c r="FL20" s="347"/>
      <c r="FM20" s="347"/>
      <c r="FN20" s="347"/>
      <c r="FO20" s="347"/>
      <c r="FP20" s="347"/>
      <c r="FQ20" s="347"/>
      <c r="FR20" s="347"/>
      <c r="FS20" s="347"/>
      <c r="FT20" s="347"/>
      <c r="FU20" s="347"/>
      <c r="FV20" s="347"/>
      <c r="FW20" s="347"/>
      <c r="FX20" s="347"/>
      <c r="FY20" s="347"/>
      <c r="FZ20" s="347"/>
      <c r="GA20" s="347"/>
      <c r="GB20" s="347"/>
      <c r="GC20" s="347"/>
      <c r="GD20" s="347"/>
      <c r="GE20" s="347"/>
      <c r="GF20" s="347"/>
      <c r="GG20" s="347"/>
      <c r="GH20" s="347"/>
      <c r="GI20" s="347"/>
      <c r="GJ20" s="347"/>
      <c r="GK20" s="347"/>
      <c r="GL20" s="347"/>
      <c r="GM20" s="347"/>
      <c r="GN20" s="347"/>
      <c r="GO20" s="347"/>
      <c r="GP20" s="347"/>
      <c r="GQ20" s="347"/>
      <c r="GR20" s="347"/>
      <c r="GS20" s="347"/>
      <c r="GT20" s="347"/>
      <c r="GU20" s="347"/>
      <c r="GV20" s="347"/>
      <c r="GW20" s="347"/>
      <c r="GX20" s="347"/>
      <c r="GY20" s="347"/>
      <c r="GZ20" s="347"/>
      <c r="HA20" s="347"/>
      <c r="HB20" s="347"/>
    </row>
    <row r="21" spans="1:210" s="93" customFormat="1" x14ac:dyDescent="0.25">
      <c r="A21" s="57" t="str">
        <f>IF(COUNTBLANK(B21)=1," ",COUNTA($B$12:B21))</f>
        <v xml:space="preserve"> </v>
      </c>
      <c r="B21" s="729"/>
      <c r="C21" s="54" t="s">
        <v>333</v>
      </c>
      <c r="D21" s="743" t="s">
        <v>32</v>
      </c>
      <c r="E21" s="377">
        <v>280</v>
      </c>
      <c r="F21" s="620">
        <v>10</v>
      </c>
      <c r="G21" s="619"/>
      <c r="H21" s="619"/>
      <c r="I21" s="136"/>
      <c r="J21" s="12"/>
      <c r="K21" s="136"/>
      <c r="L21" s="314"/>
      <c r="M21" s="315"/>
      <c r="N21" s="315"/>
      <c r="O21" s="315"/>
      <c r="P21" s="806"/>
      <c r="Q21" s="433"/>
    </row>
    <row r="22" spans="1:210" s="93" customFormat="1" ht="22.5" x14ac:dyDescent="0.25">
      <c r="A22" s="57" t="str">
        <f>IF(COUNTBLANK(B22)=1," ",COUNTA($B$12:B22))</f>
        <v xml:space="preserve"> </v>
      </c>
      <c r="B22" s="729"/>
      <c r="C22" s="54" t="s">
        <v>381</v>
      </c>
      <c r="D22" s="743" t="s">
        <v>32</v>
      </c>
      <c r="E22" s="377">
        <v>280</v>
      </c>
      <c r="F22" s="620">
        <v>10</v>
      </c>
      <c r="G22" s="377"/>
      <c r="H22" s="377"/>
      <c r="I22" s="312"/>
      <c r="J22" s="312"/>
      <c r="K22" s="312"/>
      <c r="L22" s="314"/>
      <c r="M22" s="315"/>
      <c r="N22" s="315"/>
      <c r="O22" s="315"/>
      <c r="P22" s="806"/>
      <c r="Q22" s="433"/>
    </row>
    <row r="23" spans="1:210" s="94" customFormat="1" ht="22.5" x14ac:dyDescent="0.25">
      <c r="A23" s="57">
        <f>IF(COUNTBLANK(B23)=1," ",COUNTA($B$12:B23))</f>
        <v>2</v>
      </c>
      <c r="B23" s="206" t="s">
        <v>14</v>
      </c>
      <c r="C23" s="54" t="s">
        <v>382</v>
      </c>
      <c r="D23" s="743" t="s">
        <v>17</v>
      </c>
      <c r="E23" s="10">
        <v>79</v>
      </c>
      <c r="F23" s="211"/>
      <c r="G23" s="60"/>
      <c r="H23" s="271"/>
      <c r="I23" s="60"/>
      <c r="J23" s="15"/>
      <c r="K23" s="60"/>
      <c r="L23" s="314"/>
      <c r="M23" s="315"/>
      <c r="N23" s="315"/>
      <c r="O23" s="315"/>
      <c r="P23" s="806"/>
      <c r="Q23" s="433"/>
    </row>
    <row r="24" spans="1:210" s="94" customFormat="1" x14ac:dyDescent="0.25">
      <c r="A24" s="57" t="str">
        <f>IF(COUNTBLANK(B24)=1," ",COUNTA($B$12:B24))</f>
        <v xml:space="preserve"> </v>
      </c>
      <c r="B24" s="210"/>
      <c r="C24" s="327" t="s">
        <v>21</v>
      </c>
      <c r="D24" s="207" t="s">
        <v>32</v>
      </c>
      <c r="E24" s="660">
        <f>E23*F24</f>
        <v>474</v>
      </c>
      <c r="F24" s="211">
        <v>6</v>
      </c>
      <c r="G24" s="60"/>
      <c r="H24" s="60"/>
      <c r="I24" s="60"/>
      <c r="J24" s="60"/>
      <c r="K24" s="60"/>
      <c r="L24" s="314"/>
      <c r="M24" s="315"/>
      <c r="N24" s="315"/>
      <c r="O24" s="315"/>
      <c r="P24" s="806"/>
      <c r="Q24" s="433"/>
    </row>
    <row r="25" spans="1:210" s="94" customFormat="1" x14ac:dyDescent="0.25">
      <c r="A25" s="57" t="str">
        <f>IF(COUNTBLANK(B25)=1," ",COUNTA($B$12:B25))</f>
        <v xml:space="preserve"> </v>
      </c>
      <c r="B25" s="210"/>
      <c r="C25" s="448" t="s">
        <v>441</v>
      </c>
      <c r="D25" s="204" t="s">
        <v>17</v>
      </c>
      <c r="E25" s="211">
        <f>E23*F25</f>
        <v>86.9</v>
      </c>
      <c r="F25" s="211">
        <v>1.1000000000000001</v>
      </c>
      <c r="G25" s="60"/>
      <c r="H25" s="60"/>
      <c r="I25" s="60"/>
      <c r="J25" s="60"/>
      <c r="K25" s="60"/>
      <c r="L25" s="314"/>
      <c r="M25" s="315"/>
      <c r="N25" s="315"/>
      <c r="O25" s="315"/>
      <c r="P25" s="806"/>
      <c r="Q25" s="433"/>
    </row>
    <row r="26" spans="1:210" s="723" customFormat="1" x14ac:dyDescent="0.25">
      <c r="A26" s="57">
        <f>IF(COUNTBLANK(B26)=1," ",COUNTA($B$12:B26))</f>
        <v>3</v>
      </c>
      <c r="B26" s="206" t="s">
        <v>14</v>
      </c>
      <c r="C26" s="54" t="s">
        <v>337</v>
      </c>
      <c r="D26" s="743" t="s">
        <v>17</v>
      </c>
      <c r="E26" s="10">
        <v>150</v>
      </c>
      <c r="F26" s="619"/>
      <c r="G26" s="312"/>
      <c r="H26" s="271"/>
      <c r="I26" s="312"/>
      <c r="J26" s="312"/>
      <c r="K26" s="312"/>
      <c r="L26" s="314"/>
      <c r="M26" s="315"/>
      <c r="N26" s="315"/>
      <c r="O26" s="315"/>
      <c r="P26" s="806"/>
      <c r="Q26" s="433"/>
    </row>
    <row r="27" spans="1:210" s="723" customFormat="1" x14ac:dyDescent="0.25">
      <c r="A27" s="57" t="str">
        <f>IF(COUNTBLANK(B27)=1," ",COUNTA($B$12:B27))</f>
        <v xml:space="preserve"> </v>
      </c>
      <c r="B27" s="729"/>
      <c r="C27" s="54" t="s">
        <v>383</v>
      </c>
      <c r="D27" s="743"/>
      <c r="E27" s="10"/>
      <c r="F27" s="619"/>
      <c r="G27" s="619"/>
      <c r="H27" s="619"/>
      <c r="I27" s="312"/>
      <c r="J27" s="312"/>
      <c r="K27" s="312"/>
      <c r="L27" s="314"/>
      <c r="M27" s="315"/>
      <c r="N27" s="315"/>
      <c r="O27" s="315"/>
      <c r="P27" s="806"/>
      <c r="Q27" s="433"/>
    </row>
    <row r="28" spans="1:210" s="162" customFormat="1" ht="22.5" x14ac:dyDescent="0.25">
      <c r="A28" s="57">
        <f>IF(COUNTBLANK(B28)=1," ",COUNTA($B$12:B28))</f>
        <v>4</v>
      </c>
      <c r="B28" s="206" t="s">
        <v>14</v>
      </c>
      <c r="C28" s="54" t="s">
        <v>384</v>
      </c>
      <c r="D28" s="743" t="s">
        <v>16</v>
      </c>
      <c r="E28" s="377">
        <v>175</v>
      </c>
      <c r="F28" s="619"/>
      <c r="G28" s="312"/>
      <c r="H28" s="271"/>
      <c r="I28" s="312"/>
      <c r="J28" s="312"/>
      <c r="K28" s="312"/>
      <c r="L28" s="314"/>
      <c r="M28" s="315"/>
      <c r="N28" s="315"/>
      <c r="O28" s="315"/>
      <c r="P28" s="806"/>
      <c r="Q28" s="433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</row>
    <row r="29" spans="1:210" s="162" customFormat="1" x14ac:dyDescent="0.25">
      <c r="A29" s="57">
        <f>IF(COUNTBLANK(B29)=1," ",COUNTA($B$12:B29))</f>
        <v>5</v>
      </c>
      <c r="B29" s="206" t="s">
        <v>14</v>
      </c>
      <c r="C29" s="54" t="s">
        <v>385</v>
      </c>
      <c r="D29" s="743" t="s">
        <v>16</v>
      </c>
      <c r="E29" s="377">
        <v>175</v>
      </c>
      <c r="F29" s="619"/>
      <c r="G29" s="312"/>
      <c r="H29" s="271"/>
      <c r="I29" s="312"/>
      <c r="J29" s="312"/>
      <c r="K29" s="312"/>
      <c r="L29" s="314"/>
      <c r="M29" s="315"/>
      <c r="N29" s="315"/>
      <c r="O29" s="315"/>
      <c r="P29" s="806"/>
      <c r="Q29" s="433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</row>
    <row r="30" spans="1:210" s="162" customFormat="1" ht="22.5" x14ac:dyDescent="0.25">
      <c r="A30" s="57" t="str">
        <f>IF(COUNTBLANK(B30)=1," ",COUNTA($B$12:B30))</f>
        <v xml:space="preserve"> </v>
      </c>
      <c r="B30" s="729"/>
      <c r="C30" s="54" t="s">
        <v>386</v>
      </c>
      <c r="D30" s="743" t="s">
        <v>32</v>
      </c>
      <c r="E30" s="377">
        <v>280</v>
      </c>
      <c r="F30" s="620"/>
      <c r="G30" s="621"/>
      <c r="H30" s="622"/>
      <c r="I30" s="60"/>
      <c r="J30" s="60"/>
      <c r="K30" s="60"/>
      <c r="L30" s="314"/>
      <c r="M30" s="315"/>
      <c r="N30" s="315"/>
      <c r="O30" s="315"/>
      <c r="P30" s="806"/>
      <c r="Q30" s="433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</row>
    <row r="31" spans="1:210" s="162" customFormat="1" x14ac:dyDescent="0.25">
      <c r="A31" s="57" t="str">
        <f>IF(COUNTBLANK(B31)=1," ",COUNTA($B$12:B31))</f>
        <v xml:space="preserve"> </v>
      </c>
      <c r="B31" s="729"/>
      <c r="C31" s="54" t="s">
        <v>387</v>
      </c>
      <c r="D31" s="743" t="s">
        <v>16</v>
      </c>
      <c r="E31" s="377">
        <v>175</v>
      </c>
      <c r="F31" s="619"/>
      <c r="G31" s="621"/>
      <c r="H31" s="622"/>
      <c r="I31" s="136"/>
      <c r="J31" s="136"/>
      <c r="K31" s="136"/>
      <c r="L31" s="314"/>
      <c r="M31" s="315"/>
      <c r="N31" s="315"/>
      <c r="O31" s="315"/>
      <c r="P31" s="806"/>
      <c r="Q31" s="433"/>
    </row>
    <row r="32" spans="1:210" s="162" customFormat="1" x14ac:dyDescent="0.25">
      <c r="A32" s="57">
        <f>IF(COUNTBLANK(B32)=1," ",COUNTA($B$12:B32))</f>
        <v>6</v>
      </c>
      <c r="B32" s="206" t="s">
        <v>14</v>
      </c>
      <c r="C32" s="54" t="s">
        <v>388</v>
      </c>
      <c r="D32" s="743" t="s">
        <v>16</v>
      </c>
      <c r="E32" s="377">
        <v>175</v>
      </c>
      <c r="F32" s="619"/>
      <c r="G32" s="10"/>
      <c r="H32" s="271"/>
      <c r="I32" s="10"/>
      <c r="J32" s="12"/>
      <c r="K32" s="10"/>
      <c r="L32" s="314"/>
      <c r="M32" s="315"/>
      <c r="N32" s="315"/>
      <c r="O32" s="315"/>
      <c r="P32" s="806"/>
      <c r="Q32" s="433"/>
      <c r="R32" s="739"/>
      <c r="S32" s="739"/>
      <c r="T32" s="739"/>
      <c r="U32" s="739"/>
      <c r="V32" s="739"/>
      <c r="W32" s="739"/>
      <c r="X32" s="739"/>
      <c r="Y32" s="739"/>
      <c r="Z32" s="739"/>
      <c r="AA32" s="739"/>
      <c r="AB32" s="739"/>
      <c r="AC32" s="739"/>
      <c r="AD32" s="739"/>
      <c r="AE32" s="739"/>
      <c r="AF32" s="739"/>
      <c r="AG32" s="739"/>
      <c r="AH32" s="739"/>
      <c r="AI32" s="739"/>
      <c r="AJ32" s="739"/>
      <c r="AK32" s="739"/>
      <c r="AL32" s="739"/>
      <c r="AM32" s="739"/>
      <c r="AN32" s="739"/>
      <c r="AO32" s="739"/>
      <c r="AP32" s="739"/>
      <c r="AQ32" s="739"/>
      <c r="AR32" s="739"/>
      <c r="AS32" s="739"/>
      <c r="AT32" s="739"/>
      <c r="AU32" s="739"/>
      <c r="AV32" s="739"/>
      <c r="AW32" s="739"/>
      <c r="AX32" s="739"/>
      <c r="AY32" s="739"/>
      <c r="AZ32" s="739"/>
      <c r="BA32" s="739"/>
      <c r="BB32" s="739"/>
      <c r="BC32" s="739"/>
      <c r="BD32" s="739"/>
      <c r="BE32" s="739"/>
      <c r="BF32" s="739"/>
      <c r="BG32" s="739"/>
      <c r="BH32" s="739"/>
      <c r="BI32" s="739"/>
      <c r="BJ32" s="739"/>
      <c r="BK32" s="739"/>
      <c r="BL32" s="739"/>
      <c r="BM32" s="739"/>
      <c r="BN32" s="739"/>
      <c r="BO32" s="739"/>
      <c r="BP32" s="739"/>
      <c r="BQ32" s="739"/>
      <c r="BR32" s="739"/>
      <c r="BS32" s="739"/>
      <c r="BT32" s="739"/>
      <c r="BU32" s="739"/>
      <c r="BV32" s="739"/>
      <c r="BW32" s="739"/>
      <c r="BX32" s="739"/>
      <c r="BY32" s="739"/>
      <c r="BZ32" s="739"/>
      <c r="CA32" s="739"/>
      <c r="CB32" s="739"/>
      <c r="CC32" s="739"/>
      <c r="CD32" s="739"/>
      <c r="CE32" s="739"/>
      <c r="CF32" s="739"/>
      <c r="CG32" s="739"/>
      <c r="CH32" s="739"/>
      <c r="CI32" s="739"/>
      <c r="CJ32" s="739"/>
      <c r="CK32" s="739"/>
      <c r="CL32" s="739"/>
      <c r="CM32" s="739"/>
      <c r="CN32" s="739"/>
      <c r="CO32" s="739"/>
      <c r="CP32" s="739"/>
      <c r="CQ32" s="739"/>
      <c r="CR32" s="739"/>
      <c r="CS32" s="739"/>
      <c r="CT32" s="739"/>
      <c r="CU32" s="739"/>
      <c r="CV32" s="739"/>
      <c r="CW32" s="739"/>
      <c r="CX32" s="739"/>
      <c r="CY32" s="739"/>
      <c r="CZ32" s="739"/>
      <c r="DA32" s="739"/>
      <c r="DB32" s="739"/>
      <c r="DC32" s="739"/>
      <c r="DD32" s="739"/>
      <c r="DE32" s="739"/>
      <c r="DF32" s="739"/>
      <c r="DG32" s="739"/>
      <c r="DH32" s="739"/>
      <c r="DI32" s="739"/>
      <c r="DJ32" s="739"/>
      <c r="DK32" s="739"/>
      <c r="DL32" s="739"/>
      <c r="DM32" s="739"/>
      <c r="DN32" s="739"/>
      <c r="DO32" s="739"/>
      <c r="DP32" s="739"/>
      <c r="DQ32" s="739"/>
      <c r="DR32" s="739"/>
      <c r="DS32" s="739"/>
      <c r="DT32" s="739"/>
      <c r="DU32" s="739"/>
      <c r="DV32" s="739"/>
      <c r="DW32" s="739"/>
      <c r="DX32" s="739"/>
      <c r="DY32" s="739"/>
      <c r="DZ32" s="739"/>
      <c r="EA32" s="739"/>
      <c r="EB32" s="739"/>
      <c r="EC32" s="739"/>
      <c r="ED32" s="739"/>
      <c r="EE32" s="739"/>
      <c r="EF32" s="739"/>
      <c r="EG32" s="739"/>
      <c r="EH32" s="739"/>
      <c r="EI32" s="739"/>
      <c r="EJ32" s="739"/>
      <c r="EK32" s="739"/>
      <c r="EL32" s="739"/>
      <c r="EM32" s="739"/>
      <c r="EN32" s="739"/>
      <c r="EO32" s="739"/>
      <c r="EP32" s="739"/>
      <c r="EQ32" s="739"/>
      <c r="ER32" s="739"/>
      <c r="ES32" s="739"/>
      <c r="ET32" s="739"/>
      <c r="EU32" s="739"/>
      <c r="EV32" s="739"/>
      <c r="EW32" s="739"/>
      <c r="EX32" s="739"/>
      <c r="EY32" s="739"/>
      <c r="EZ32" s="739"/>
      <c r="FA32" s="739"/>
      <c r="FB32" s="739"/>
      <c r="FC32" s="739"/>
      <c r="FD32" s="739"/>
      <c r="FE32" s="739"/>
      <c r="FF32" s="739"/>
      <c r="FG32" s="739"/>
      <c r="FH32" s="739"/>
      <c r="FI32" s="739"/>
      <c r="FJ32" s="739"/>
      <c r="FK32" s="739"/>
      <c r="FL32" s="739"/>
      <c r="FM32" s="739"/>
      <c r="FN32" s="739"/>
      <c r="FO32" s="739"/>
      <c r="FP32" s="739"/>
      <c r="FQ32" s="739"/>
      <c r="FR32" s="739"/>
      <c r="FS32" s="739"/>
      <c r="FT32" s="739"/>
      <c r="FU32" s="739"/>
      <c r="FV32" s="739"/>
      <c r="FW32" s="739"/>
      <c r="FX32" s="739"/>
      <c r="FY32" s="739"/>
      <c r="FZ32" s="739"/>
      <c r="GA32" s="739"/>
      <c r="GB32" s="739"/>
      <c r="GC32" s="739"/>
      <c r="GD32" s="739"/>
      <c r="GE32" s="739"/>
      <c r="GF32" s="739"/>
      <c r="GG32" s="739"/>
      <c r="GH32" s="739"/>
      <c r="GI32" s="739"/>
      <c r="GJ32" s="739"/>
      <c r="GK32" s="739"/>
      <c r="GL32" s="739"/>
      <c r="GM32" s="739"/>
      <c r="GN32" s="739"/>
      <c r="GO32" s="739"/>
      <c r="GP32" s="739"/>
      <c r="GQ32" s="739"/>
      <c r="GR32" s="739"/>
      <c r="GS32" s="739"/>
      <c r="GT32" s="739"/>
      <c r="GU32" s="739"/>
      <c r="GV32" s="739"/>
      <c r="GW32" s="739"/>
      <c r="GX32" s="739"/>
      <c r="GY32" s="739"/>
      <c r="GZ32" s="739"/>
      <c r="HA32" s="739"/>
      <c r="HB32" s="739"/>
    </row>
    <row r="33" spans="1:210" s="162" customFormat="1" ht="22.5" x14ac:dyDescent="0.25">
      <c r="A33" s="57">
        <f>IF(COUNTBLANK(B33)=1," ",COUNTA($B$12:B33))</f>
        <v>7</v>
      </c>
      <c r="B33" s="206" t="s">
        <v>14</v>
      </c>
      <c r="C33" s="54" t="s">
        <v>389</v>
      </c>
      <c r="D33" s="743" t="s">
        <v>16</v>
      </c>
      <c r="E33" s="377">
        <v>175</v>
      </c>
      <c r="F33" s="619"/>
      <c r="G33" s="10"/>
      <c r="H33" s="271"/>
      <c r="I33" s="10"/>
      <c r="J33" s="12"/>
      <c r="K33" s="10"/>
      <c r="L33" s="314"/>
      <c r="M33" s="315"/>
      <c r="N33" s="315"/>
      <c r="O33" s="315"/>
      <c r="P33" s="806"/>
      <c r="Q33" s="433"/>
      <c r="R33" s="739"/>
      <c r="S33" s="739"/>
      <c r="T33" s="739"/>
      <c r="U33" s="739"/>
      <c r="V33" s="739"/>
      <c r="W33" s="739"/>
      <c r="X33" s="739"/>
      <c r="Y33" s="739"/>
      <c r="Z33" s="739"/>
      <c r="AA33" s="739"/>
      <c r="AB33" s="739"/>
      <c r="AC33" s="739"/>
      <c r="AD33" s="739"/>
      <c r="AE33" s="739"/>
      <c r="AF33" s="739"/>
      <c r="AG33" s="739"/>
      <c r="AH33" s="739"/>
      <c r="AI33" s="739"/>
      <c r="AJ33" s="739"/>
      <c r="AK33" s="739"/>
      <c r="AL33" s="739"/>
      <c r="AM33" s="739"/>
      <c r="AN33" s="739"/>
      <c r="AO33" s="739"/>
      <c r="AP33" s="739"/>
      <c r="AQ33" s="739"/>
      <c r="AR33" s="739"/>
      <c r="AS33" s="739"/>
      <c r="AT33" s="739"/>
      <c r="AU33" s="739"/>
      <c r="AV33" s="739"/>
      <c r="AW33" s="739"/>
      <c r="AX33" s="739"/>
      <c r="AY33" s="739"/>
      <c r="AZ33" s="739"/>
      <c r="BA33" s="739"/>
      <c r="BB33" s="739"/>
      <c r="BC33" s="739"/>
      <c r="BD33" s="739"/>
      <c r="BE33" s="739"/>
      <c r="BF33" s="739"/>
      <c r="BG33" s="739"/>
      <c r="BH33" s="739"/>
      <c r="BI33" s="739"/>
      <c r="BJ33" s="739"/>
      <c r="BK33" s="739"/>
      <c r="BL33" s="739"/>
      <c r="BM33" s="739"/>
      <c r="BN33" s="739"/>
      <c r="BO33" s="739"/>
      <c r="BP33" s="739"/>
      <c r="BQ33" s="739"/>
      <c r="BR33" s="739"/>
      <c r="BS33" s="739"/>
      <c r="BT33" s="739"/>
      <c r="BU33" s="739"/>
      <c r="BV33" s="739"/>
      <c r="BW33" s="739"/>
      <c r="BX33" s="739"/>
      <c r="BY33" s="739"/>
      <c r="BZ33" s="739"/>
      <c r="CA33" s="739"/>
      <c r="CB33" s="739"/>
      <c r="CC33" s="739"/>
      <c r="CD33" s="739"/>
      <c r="CE33" s="739"/>
      <c r="CF33" s="739"/>
      <c r="CG33" s="739"/>
      <c r="CH33" s="739"/>
      <c r="CI33" s="739"/>
      <c r="CJ33" s="739"/>
      <c r="CK33" s="739"/>
      <c r="CL33" s="739"/>
      <c r="CM33" s="739"/>
      <c r="CN33" s="739"/>
      <c r="CO33" s="739"/>
      <c r="CP33" s="739"/>
      <c r="CQ33" s="739"/>
      <c r="CR33" s="739"/>
      <c r="CS33" s="739"/>
      <c r="CT33" s="739"/>
      <c r="CU33" s="739"/>
      <c r="CV33" s="739"/>
      <c r="CW33" s="739"/>
      <c r="CX33" s="739"/>
      <c r="CY33" s="739"/>
      <c r="CZ33" s="739"/>
      <c r="DA33" s="739"/>
      <c r="DB33" s="739"/>
      <c r="DC33" s="739"/>
      <c r="DD33" s="739"/>
      <c r="DE33" s="739"/>
      <c r="DF33" s="739"/>
      <c r="DG33" s="739"/>
      <c r="DH33" s="739"/>
      <c r="DI33" s="739"/>
      <c r="DJ33" s="739"/>
      <c r="DK33" s="739"/>
      <c r="DL33" s="739"/>
      <c r="DM33" s="739"/>
      <c r="DN33" s="739"/>
      <c r="DO33" s="739"/>
      <c r="DP33" s="739"/>
      <c r="DQ33" s="739"/>
      <c r="DR33" s="739"/>
      <c r="DS33" s="739"/>
      <c r="DT33" s="739"/>
      <c r="DU33" s="739"/>
      <c r="DV33" s="739"/>
      <c r="DW33" s="739"/>
      <c r="DX33" s="739"/>
      <c r="DY33" s="739"/>
      <c r="DZ33" s="739"/>
      <c r="EA33" s="739"/>
      <c r="EB33" s="739"/>
      <c r="EC33" s="739"/>
      <c r="ED33" s="739"/>
      <c r="EE33" s="739"/>
      <c r="EF33" s="739"/>
      <c r="EG33" s="739"/>
      <c r="EH33" s="739"/>
      <c r="EI33" s="739"/>
      <c r="EJ33" s="739"/>
      <c r="EK33" s="739"/>
      <c r="EL33" s="739"/>
      <c r="EM33" s="739"/>
      <c r="EN33" s="739"/>
      <c r="EO33" s="739"/>
      <c r="EP33" s="739"/>
      <c r="EQ33" s="739"/>
      <c r="ER33" s="739"/>
      <c r="ES33" s="739"/>
      <c r="ET33" s="739"/>
      <c r="EU33" s="739"/>
      <c r="EV33" s="739"/>
      <c r="EW33" s="739"/>
      <c r="EX33" s="739"/>
      <c r="EY33" s="739"/>
      <c r="EZ33" s="739"/>
      <c r="FA33" s="739"/>
      <c r="FB33" s="739"/>
      <c r="FC33" s="739"/>
      <c r="FD33" s="739"/>
      <c r="FE33" s="739"/>
      <c r="FF33" s="739"/>
      <c r="FG33" s="739"/>
      <c r="FH33" s="739"/>
      <c r="FI33" s="739"/>
      <c r="FJ33" s="739"/>
      <c r="FK33" s="739"/>
      <c r="FL33" s="739"/>
      <c r="FM33" s="739"/>
      <c r="FN33" s="739"/>
      <c r="FO33" s="739"/>
      <c r="FP33" s="739"/>
      <c r="FQ33" s="739"/>
      <c r="FR33" s="739"/>
      <c r="FS33" s="739"/>
      <c r="FT33" s="739"/>
      <c r="FU33" s="739"/>
      <c r="FV33" s="739"/>
      <c r="FW33" s="739"/>
      <c r="FX33" s="739"/>
      <c r="FY33" s="739"/>
      <c r="FZ33" s="739"/>
      <c r="GA33" s="739"/>
      <c r="GB33" s="739"/>
      <c r="GC33" s="739"/>
      <c r="GD33" s="739"/>
      <c r="GE33" s="739"/>
      <c r="GF33" s="739"/>
      <c r="GG33" s="739"/>
      <c r="GH33" s="739"/>
      <c r="GI33" s="739"/>
      <c r="GJ33" s="739"/>
      <c r="GK33" s="739"/>
      <c r="GL33" s="739"/>
      <c r="GM33" s="739"/>
      <c r="GN33" s="739"/>
      <c r="GO33" s="739"/>
      <c r="GP33" s="739"/>
      <c r="GQ33" s="739"/>
      <c r="GR33" s="739"/>
      <c r="GS33" s="739"/>
      <c r="GT33" s="739"/>
      <c r="GU33" s="739"/>
      <c r="GV33" s="739"/>
      <c r="GW33" s="739"/>
      <c r="GX33" s="739"/>
      <c r="GY33" s="739"/>
      <c r="GZ33" s="739"/>
      <c r="HA33" s="739"/>
      <c r="HB33" s="739"/>
    </row>
    <row r="34" spans="1:210" s="162" customFormat="1" x14ac:dyDescent="0.25">
      <c r="A34" s="57">
        <f>IF(COUNTBLANK(B34)=1," ",COUNTA($B$12:B34))</f>
        <v>8</v>
      </c>
      <c r="B34" s="206" t="s">
        <v>14</v>
      </c>
      <c r="C34" s="54" t="s">
        <v>390</v>
      </c>
      <c r="D34" s="743" t="s">
        <v>16</v>
      </c>
      <c r="E34" s="377">
        <v>350</v>
      </c>
      <c r="F34" s="619"/>
      <c r="G34" s="136"/>
      <c r="H34" s="271"/>
      <c r="I34" s="436"/>
      <c r="J34" s="306"/>
      <c r="K34" s="136"/>
      <c r="L34" s="314"/>
      <c r="M34" s="315"/>
      <c r="N34" s="315"/>
      <c r="O34" s="315"/>
      <c r="P34" s="806"/>
      <c r="Q34" s="433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  <c r="AM34" s="739"/>
      <c r="AN34" s="739"/>
      <c r="AO34" s="739"/>
      <c r="AP34" s="739"/>
      <c r="AQ34" s="739"/>
      <c r="AR34" s="739"/>
      <c r="AS34" s="739"/>
      <c r="AT34" s="739"/>
      <c r="AU34" s="739"/>
      <c r="AV34" s="739"/>
      <c r="AW34" s="739"/>
      <c r="AX34" s="739"/>
      <c r="AY34" s="739"/>
      <c r="AZ34" s="739"/>
      <c r="BA34" s="739"/>
      <c r="BB34" s="739"/>
      <c r="BC34" s="739"/>
      <c r="BD34" s="739"/>
      <c r="BE34" s="739"/>
      <c r="BF34" s="739"/>
      <c r="BG34" s="739"/>
      <c r="BH34" s="739"/>
      <c r="BI34" s="739"/>
      <c r="BJ34" s="739"/>
      <c r="BK34" s="739"/>
      <c r="BL34" s="739"/>
      <c r="BM34" s="739"/>
      <c r="BN34" s="739"/>
      <c r="BO34" s="739"/>
      <c r="BP34" s="739"/>
      <c r="BQ34" s="739"/>
      <c r="BR34" s="739"/>
      <c r="BS34" s="739"/>
      <c r="BT34" s="739"/>
      <c r="BU34" s="739"/>
      <c r="BV34" s="739"/>
      <c r="BW34" s="739"/>
      <c r="BX34" s="739"/>
      <c r="BY34" s="739"/>
      <c r="BZ34" s="739"/>
      <c r="CA34" s="739"/>
      <c r="CB34" s="739"/>
      <c r="CC34" s="739"/>
      <c r="CD34" s="739"/>
      <c r="CE34" s="739"/>
      <c r="CF34" s="739"/>
      <c r="CG34" s="739"/>
      <c r="CH34" s="739"/>
      <c r="CI34" s="739"/>
      <c r="CJ34" s="739"/>
      <c r="CK34" s="739"/>
      <c r="CL34" s="739"/>
      <c r="CM34" s="739"/>
      <c r="CN34" s="739"/>
      <c r="CO34" s="739"/>
      <c r="CP34" s="739"/>
      <c r="CQ34" s="739"/>
      <c r="CR34" s="739"/>
      <c r="CS34" s="739"/>
      <c r="CT34" s="739"/>
      <c r="CU34" s="739"/>
      <c r="CV34" s="739"/>
      <c r="CW34" s="739"/>
      <c r="CX34" s="739"/>
      <c r="CY34" s="739"/>
      <c r="CZ34" s="739"/>
      <c r="DA34" s="739"/>
      <c r="DB34" s="739"/>
      <c r="DC34" s="739"/>
      <c r="DD34" s="739"/>
      <c r="DE34" s="739"/>
      <c r="DF34" s="739"/>
      <c r="DG34" s="739"/>
      <c r="DH34" s="739"/>
      <c r="DI34" s="739"/>
      <c r="DJ34" s="739"/>
      <c r="DK34" s="739"/>
      <c r="DL34" s="739"/>
      <c r="DM34" s="739"/>
      <c r="DN34" s="739"/>
      <c r="DO34" s="739"/>
      <c r="DP34" s="739"/>
      <c r="DQ34" s="739"/>
      <c r="DR34" s="739"/>
      <c r="DS34" s="739"/>
      <c r="DT34" s="739"/>
      <c r="DU34" s="739"/>
      <c r="DV34" s="739"/>
      <c r="DW34" s="739"/>
      <c r="DX34" s="739"/>
      <c r="DY34" s="739"/>
      <c r="DZ34" s="739"/>
      <c r="EA34" s="739"/>
      <c r="EB34" s="739"/>
      <c r="EC34" s="739"/>
      <c r="ED34" s="739"/>
      <c r="EE34" s="739"/>
      <c r="EF34" s="739"/>
      <c r="EG34" s="739"/>
      <c r="EH34" s="739"/>
      <c r="EI34" s="739"/>
      <c r="EJ34" s="739"/>
      <c r="EK34" s="739"/>
      <c r="EL34" s="739"/>
      <c r="EM34" s="739"/>
      <c r="EN34" s="739"/>
      <c r="EO34" s="739"/>
      <c r="EP34" s="739"/>
      <c r="EQ34" s="739"/>
      <c r="ER34" s="739"/>
      <c r="ES34" s="739"/>
      <c r="ET34" s="739"/>
      <c r="EU34" s="739"/>
      <c r="EV34" s="739"/>
      <c r="EW34" s="739"/>
      <c r="EX34" s="739"/>
      <c r="EY34" s="739"/>
      <c r="EZ34" s="739"/>
      <c r="FA34" s="739"/>
      <c r="FB34" s="739"/>
      <c r="FC34" s="739"/>
      <c r="FD34" s="739"/>
      <c r="FE34" s="739"/>
      <c r="FF34" s="739"/>
      <c r="FG34" s="739"/>
      <c r="FH34" s="739"/>
      <c r="FI34" s="739"/>
      <c r="FJ34" s="739"/>
      <c r="FK34" s="739"/>
      <c r="FL34" s="739"/>
      <c r="FM34" s="739"/>
      <c r="FN34" s="739"/>
      <c r="FO34" s="739"/>
      <c r="FP34" s="739"/>
      <c r="FQ34" s="739"/>
      <c r="FR34" s="739"/>
      <c r="FS34" s="739"/>
      <c r="FT34" s="739"/>
      <c r="FU34" s="739"/>
      <c r="FV34" s="739"/>
      <c r="FW34" s="739"/>
      <c r="FX34" s="739"/>
      <c r="FY34" s="739"/>
      <c r="FZ34" s="739"/>
      <c r="GA34" s="739"/>
      <c r="GB34" s="739"/>
      <c r="GC34" s="739"/>
      <c r="GD34" s="739"/>
      <c r="GE34" s="739"/>
      <c r="GF34" s="739"/>
      <c r="GG34" s="739"/>
      <c r="GH34" s="739"/>
      <c r="GI34" s="739"/>
      <c r="GJ34" s="739"/>
      <c r="GK34" s="739"/>
      <c r="GL34" s="739"/>
      <c r="GM34" s="739"/>
      <c r="GN34" s="739"/>
      <c r="GO34" s="739"/>
      <c r="GP34" s="739"/>
      <c r="GQ34" s="739"/>
      <c r="GR34" s="739"/>
      <c r="GS34" s="739"/>
      <c r="GT34" s="739"/>
      <c r="GU34" s="739"/>
      <c r="GV34" s="739"/>
      <c r="GW34" s="739"/>
      <c r="GX34" s="739"/>
      <c r="GY34" s="739"/>
      <c r="GZ34" s="739"/>
      <c r="HA34" s="739"/>
      <c r="HB34" s="739"/>
    </row>
    <row r="35" spans="1:210" s="94" customFormat="1" x14ac:dyDescent="0.25">
      <c r="A35" s="57">
        <f>IF(COUNTBLANK(B35)=1," ",COUNTA($B$12:B35))</f>
        <v>9</v>
      </c>
      <c r="B35" s="206" t="s">
        <v>14</v>
      </c>
      <c r="C35" s="54" t="s">
        <v>391</v>
      </c>
      <c r="D35" s="743" t="s">
        <v>16</v>
      </c>
      <c r="E35" s="377">
        <v>175</v>
      </c>
      <c r="F35" s="211"/>
      <c r="G35" s="60"/>
      <c r="H35" s="271"/>
      <c r="I35" s="60"/>
      <c r="J35" s="15"/>
      <c r="K35" s="60"/>
      <c r="L35" s="314"/>
      <c r="M35" s="315"/>
      <c r="N35" s="315"/>
      <c r="O35" s="315"/>
      <c r="P35" s="806"/>
      <c r="Q35" s="433"/>
    </row>
    <row r="36" spans="1:210" s="94" customFormat="1" ht="33.75" x14ac:dyDescent="0.25">
      <c r="A36" s="57"/>
      <c r="B36" s="206"/>
      <c r="C36" s="151" t="s">
        <v>904</v>
      </c>
      <c r="D36" s="761" t="s">
        <v>17</v>
      </c>
      <c r="E36" s="762">
        <v>210</v>
      </c>
      <c r="F36" s="211"/>
      <c r="G36" s="60"/>
      <c r="H36" s="271"/>
      <c r="I36" s="60"/>
      <c r="J36" s="15"/>
      <c r="K36" s="60"/>
      <c r="L36" s="314"/>
      <c r="M36" s="315"/>
      <c r="N36" s="315"/>
      <c r="O36" s="315"/>
      <c r="P36" s="806"/>
      <c r="Q36" s="433"/>
    </row>
    <row r="37" spans="1:210" s="94" customFormat="1" x14ac:dyDescent="0.25">
      <c r="A37" s="57" t="str">
        <f>IF(COUNTBLANK(B37)=1," ",COUNTA($B$12:B37))</f>
        <v xml:space="preserve"> </v>
      </c>
      <c r="B37" s="210"/>
      <c r="C37" s="327" t="s">
        <v>21</v>
      </c>
      <c r="D37" s="207" t="s">
        <v>32</v>
      </c>
      <c r="E37" s="211">
        <f>E35*F37</f>
        <v>1050</v>
      </c>
      <c r="F37" s="211">
        <v>6</v>
      </c>
      <c r="G37" s="60"/>
      <c r="H37" s="60"/>
      <c r="I37" s="60"/>
      <c r="J37" s="60"/>
      <c r="K37" s="60"/>
      <c r="L37" s="314"/>
      <c r="M37" s="315"/>
      <c r="N37" s="315"/>
      <c r="O37" s="315"/>
      <c r="P37" s="806"/>
      <c r="Q37" s="433"/>
    </row>
    <row r="38" spans="1:210" s="94" customFormat="1" x14ac:dyDescent="0.25">
      <c r="A38" s="57" t="str">
        <f>IF(COUNTBLANK(B38)=1," ",COUNTA($B$12:B38))</f>
        <v xml:space="preserve"> </v>
      </c>
      <c r="B38" s="210"/>
      <c r="C38" s="448" t="s">
        <v>441</v>
      </c>
      <c r="D38" s="204" t="s">
        <v>17</v>
      </c>
      <c r="E38" s="211">
        <v>71</v>
      </c>
      <c r="F38" s="211">
        <v>0.15</v>
      </c>
      <c r="G38" s="60"/>
      <c r="H38" s="60"/>
      <c r="I38" s="60"/>
      <c r="J38" s="60"/>
      <c r="K38" s="60"/>
      <c r="L38" s="314"/>
      <c r="M38" s="315"/>
      <c r="N38" s="315"/>
      <c r="O38" s="315"/>
      <c r="P38" s="806"/>
      <c r="Q38" s="433"/>
    </row>
    <row r="39" spans="1:210" s="93" customFormat="1" ht="22.5" x14ac:dyDescent="0.25">
      <c r="A39" s="57" t="str">
        <f>IF(COUNTBLANK(B39)=1," ",COUNTA($B$12:B39))</f>
        <v xml:space="preserve"> </v>
      </c>
      <c r="B39" s="729"/>
      <c r="C39" s="54" t="s">
        <v>393</v>
      </c>
      <c r="D39" s="743"/>
      <c r="E39" s="10"/>
      <c r="F39" s="619"/>
      <c r="G39" s="621"/>
      <c r="H39" s="622"/>
      <c r="I39" s="312"/>
      <c r="J39" s="312"/>
      <c r="K39" s="312"/>
      <c r="L39" s="314"/>
      <c r="M39" s="315"/>
      <c r="N39" s="315"/>
      <c r="O39" s="315"/>
      <c r="P39" s="806"/>
      <c r="Q39" s="433"/>
    </row>
    <row r="40" spans="1:210" s="93" customFormat="1" ht="22.5" x14ac:dyDescent="0.25">
      <c r="A40" s="57">
        <f>IF(COUNTBLANK(B40)=1," ",COUNTA($B$12:B40))</f>
        <v>10</v>
      </c>
      <c r="B40" s="206" t="s">
        <v>14</v>
      </c>
      <c r="C40" s="54" t="s">
        <v>814</v>
      </c>
      <c r="D40" s="743" t="s">
        <v>32</v>
      </c>
      <c r="E40" s="377">
        <v>18</v>
      </c>
      <c r="F40" s="618"/>
      <c r="G40" s="34"/>
      <c r="H40" s="271"/>
      <c r="I40" s="34"/>
      <c r="J40" s="15"/>
      <c r="K40" s="34"/>
      <c r="L40" s="314"/>
      <c r="M40" s="315"/>
      <c r="N40" s="315"/>
      <c r="O40" s="315"/>
      <c r="P40" s="806"/>
      <c r="Q40" s="433"/>
    </row>
    <row r="41" spans="1:210" s="93" customFormat="1" ht="22.5" x14ac:dyDescent="0.25">
      <c r="A41" s="57" t="str">
        <f>IF(COUNTBLANK(B41)=1," ",COUNTA($B$12:B41))</f>
        <v xml:space="preserve"> </v>
      </c>
      <c r="B41" s="729"/>
      <c r="C41" s="54" t="s">
        <v>755</v>
      </c>
      <c r="D41" s="743" t="s">
        <v>23</v>
      </c>
      <c r="E41" s="377">
        <v>504.51840000000004</v>
      </c>
      <c r="F41" s="619">
        <v>28.03</v>
      </c>
      <c r="G41" s="619"/>
      <c r="H41" s="619"/>
      <c r="I41" s="312"/>
      <c r="J41" s="312"/>
      <c r="K41" s="312"/>
      <c r="L41" s="314"/>
      <c r="M41" s="315"/>
      <c r="N41" s="315"/>
      <c r="O41" s="315"/>
      <c r="P41" s="806"/>
      <c r="Q41" s="433"/>
    </row>
    <row r="42" spans="1:210" s="93" customFormat="1" ht="22.5" x14ac:dyDescent="0.25">
      <c r="A42" s="57" t="str">
        <f>IF(COUNTBLANK(B42)=1," ",COUNTA($B$12:B42))</f>
        <v xml:space="preserve"> </v>
      </c>
      <c r="B42" s="729"/>
      <c r="C42" s="54" t="s">
        <v>815</v>
      </c>
      <c r="D42" s="743" t="s">
        <v>23</v>
      </c>
      <c r="E42" s="377">
        <v>56.160000000000011</v>
      </c>
      <c r="F42" s="619">
        <v>3.12</v>
      </c>
      <c r="G42" s="619"/>
      <c r="H42" s="619"/>
      <c r="I42" s="312"/>
      <c r="J42" s="312"/>
      <c r="K42" s="312"/>
      <c r="L42" s="314"/>
      <c r="M42" s="315"/>
      <c r="N42" s="315"/>
      <c r="O42" s="315"/>
      <c r="P42" s="806"/>
      <c r="Q42" s="433"/>
    </row>
    <row r="43" spans="1:210" s="93" customFormat="1" x14ac:dyDescent="0.25">
      <c r="A43" s="57" t="str">
        <f>IF(COUNTBLANK(B43)=1," ",COUNTA($B$12:B43))</f>
        <v xml:space="preserve"> </v>
      </c>
      <c r="B43" s="729"/>
      <c r="C43" s="54" t="s">
        <v>816</v>
      </c>
      <c r="D43" s="743" t="s">
        <v>32</v>
      </c>
      <c r="E43" s="377">
        <f>36*2</f>
        <v>72</v>
      </c>
      <c r="F43" s="620">
        <v>4</v>
      </c>
      <c r="G43" s="619"/>
      <c r="H43" s="619"/>
      <c r="I43" s="312"/>
      <c r="J43" s="312"/>
      <c r="K43" s="312"/>
      <c r="L43" s="314"/>
      <c r="M43" s="315"/>
      <c r="N43" s="315"/>
      <c r="O43" s="315"/>
      <c r="P43" s="806"/>
      <c r="Q43" s="433"/>
    </row>
    <row r="44" spans="1:210" s="93" customFormat="1" x14ac:dyDescent="0.25">
      <c r="A44" s="57" t="str">
        <f>IF(COUNTBLANK(B44)=1," ",COUNTA($B$12:B44))</f>
        <v xml:space="preserve"> </v>
      </c>
      <c r="B44" s="729"/>
      <c r="C44" s="54" t="s">
        <v>395</v>
      </c>
      <c r="D44" s="743" t="s">
        <v>23</v>
      </c>
      <c r="E44" s="377">
        <v>491.38560000000001</v>
      </c>
      <c r="F44" s="619">
        <v>27.3</v>
      </c>
      <c r="G44" s="619"/>
      <c r="H44" s="619"/>
      <c r="I44" s="312"/>
      <c r="J44" s="312"/>
      <c r="K44" s="312"/>
      <c r="L44" s="314"/>
      <c r="M44" s="315"/>
      <c r="N44" s="315"/>
      <c r="O44" s="315"/>
      <c r="P44" s="806"/>
      <c r="Q44" s="433"/>
    </row>
    <row r="45" spans="1:210" s="93" customFormat="1" x14ac:dyDescent="0.25">
      <c r="A45" s="57" t="str">
        <f>IF(COUNTBLANK(B45)=1," ",COUNTA($B$12:B45))</f>
        <v xml:space="preserve"> </v>
      </c>
      <c r="B45" s="729"/>
      <c r="C45" s="54" t="s">
        <v>396</v>
      </c>
      <c r="D45" s="743" t="s">
        <v>32</v>
      </c>
      <c r="E45" s="377">
        <f>18*5</f>
        <v>90</v>
      </c>
      <c r="F45" s="620">
        <v>5</v>
      </c>
      <c r="G45" s="619"/>
      <c r="H45" s="619"/>
      <c r="I45" s="312"/>
      <c r="J45" s="312"/>
      <c r="K45" s="312"/>
      <c r="L45" s="314"/>
      <c r="M45" s="315"/>
      <c r="N45" s="315"/>
      <c r="O45" s="315"/>
      <c r="P45" s="806"/>
      <c r="Q45" s="433"/>
    </row>
    <row r="46" spans="1:210" s="93" customFormat="1" ht="33.75" x14ac:dyDescent="0.25">
      <c r="A46" s="57" t="str">
        <f>IF(COUNTBLANK(B46)=1," ",COUNTA($B$12:B46))</f>
        <v xml:space="preserve"> </v>
      </c>
      <c r="B46" s="729"/>
      <c r="C46" s="54" t="s">
        <v>397</v>
      </c>
      <c r="D46" s="743" t="s">
        <v>23</v>
      </c>
      <c r="E46" s="377">
        <v>28.08</v>
      </c>
      <c r="F46" s="377">
        <v>1.55</v>
      </c>
      <c r="G46" s="377"/>
      <c r="H46" s="377"/>
      <c r="I46" s="312"/>
      <c r="J46" s="312"/>
      <c r="K46" s="312"/>
      <c r="L46" s="314"/>
      <c r="M46" s="315"/>
      <c r="N46" s="315"/>
      <c r="O46" s="315"/>
      <c r="P46" s="806"/>
      <c r="Q46" s="433"/>
    </row>
    <row r="47" spans="1:210" s="93" customFormat="1" x14ac:dyDescent="0.25">
      <c r="A47" s="57" t="str">
        <f>IF(COUNTBLANK(B47)=1," ",COUNTA($B$12:B47))</f>
        <v xml:space="preserve"> </v>
      </c>
      <c r="B47" s="729"/>
      <c r="C47" s="54" t="s">
        <v>333</v>
      </c>
      <c r="D47" s="743" t="s">
        <v>32</v>
      </c>
      <c r="E47" s="377">
        <v>90</v>
      </c>
      <c r="F47" s="620">
        <v>5</v>
      </c>
      <c r="G47" s="619"/>
      <c r="H47" s="619"/>
      <c r="I47" s="312"/>
      <c r="J47" s="312"/>
      <c r="K47" s="312"/>
      <c r="L47" s="314"/>
      <c r="M47" s="315"/>
      <c r="N47" s="315"/>
      <c r="O47" s="315"/>
      <c r="P47" s="806"/>
      <c r="Q47" s="433"/>
    </row>
    <row r="48" spans="1:210" s="93" customFormat="1" ht="22.5" x14ac:dyDescent="0.25">
      <c r="A48" s="57" t="str">
        <f>IF(COUNTBLANK(B48)=1," ",COUNTA($B$12:B48))</f>
        <v xml:space="preserve"> </v>
      </c>
      <c r="B48" s="729"/>
      <c r="C48" s="54" t="s">
        <v>398</v>
      </c>
      <c r="D48" s="743" t="s">
        <v>23</v>
      </c>
      <c r="E48" s="377">
        <v>41.558399999999992</v>
      </c>
      <c r="F48" s="620">
        <v>2.3199999999999998</v>
      </c>
      <c r="G48" s="377"/>
      <c r="H48" s="377"/>
      <c r="I48" s="312"/>
      <c r="J48" s="312"/>
      <c r="K48" s="312"/>
      <c r="L48" s="314"/>
      <c r="M48" s="315"/>
      <c r="N48" s="315"/>
      <c r="O48" s="315"/>
      <c r="P48" s="806"/>
      <c r="Q48" s="433"/>
    </row>
    <row r="49" spans="1:210" s="94" customFormat="1" ht="22.5" x14ac:dyDescent="0.25">
      <c r="A49" s="57">
        <f>IF(COUNTBLANK(B49)=1," ",COUNTA($B$12:B49))</f>
        <v>11</v>
      </c>
      <c r="B49" s="206" t="s">
        <v>14</v>
      </c>
      <c r="C49" s="54" t="s">
        <v>382</v>
      </c>
      <c r="D49" s="743" t="s">
        <v>17</v>
      </c>
      <c r="E49" s="10">
        <v>25</v>
      </c>
      <c r="F49" s="211"/>
      <c r="G49" s="60"/>
      <c r="H49" s="271"/>
      <c r="I49" s="60"/>
      <c r="J49" s="15"/>
      <c r="K49" s="60"/>
      <c r="L49" s="314"/>
      <c r="M49" s="315"/>
      <c r="N49" s="315"/>
      <c r="O49" s="315"/>
      <c r="P49" s="806"/>
      <c r="Q49" s="433"/>
    </row>
    <row r="50" spans="1:210" s="94" customFormat="1" x14ac:dyDescent="0.25">
      <c r="A50" s="57" t="str">
        <f>IF(COUNTBLANK(B50)=1," ",COUNTA($B$12:B50))</f>
        <v xml:space="preserve"> </v>
      </c>
      <c r="B50" s="210"/>
      <c r="C50" s="327" t="s">
        <v>21</v>
      </c>
      <c r="D50" s="207" t="s">
        <v>32</v>
      </c>
      <c r="E50" s="211">
        <f>E49*F50</f>
        <v>150</v>
      </c>
      <c r="F50" s="211">
        <v>6</v>
      </c>
      <c r="G50" s="60"/>
      <c r="H50" s="60"/>
      <c r="I50" s="60"/>
      <c r="J50" s="60"/>
      <c r="K50" s="60"/>
      <c r="L50" s="314"/>
      <c r="M50" s="315"/>
      <c r="N50" s="315"/>
      <c r="O50" s="315"/>
      <c r="P50" s="806"/>
      <c r="Q50" s="433"/>
    </row>
    <row r="51" spans="1:210" s="94" customFormat="1" x14ac:dyDescent="0.25">
      <c r="A51" s="57" t="str">
        <f>IF(COUNTBLANK(B51)=1," ",COUNTA($B$12:B51))</f>
        <v xml:space="preserve"> </v>
      </c>
      <c r="B51" s="210"/>
      <c r="C51" s="448" t="s">
        <v>441</v>
      </c>
      <c r="D51" s="204" t="s">
        <v>17</v>
      </c>
      <c r="E51" s="211">
        <f>E49*F51</f>
        <v>27.500000000000004</v>
      </c>
      <c r="F51" s="211">
        <v>1.1000000000000001</v>
      </c>
      <c r="G51" s="60"/>
      <c r="H51" s="60"/>
      <c r="I51" s="60"/>
      <c r="J51" s="60"/>
      <c r="K51" s="60"/>
      <c r="L51" s="314"/>
      <c r="M51" s="315"/>
      <c r="N51" s="315"/>
      <c r="O51" s="315"/>
      <c r="P51" s="806"/>
      <c r="Q51" s="433"/>
    </row>
    <row r="52" spans="1:210" s="93" customFormat="1" x14ac:dyDescent="0.25">
      <c r="A52" s="57">
        <f>IF(COUNTBLANK(B52)=1," ",COUNTA($B$12:B52))</f>
        <v>12</v>
      </c>
      <c r="B52" s="206" t="s">
        <v>14</v>
      </c>
      <c r="C52" s="54" t="s">
        <v>337</v>
      </c>
      <c r="D52" s="743" t="s">
        <v>17</v>
      </c>
      <c r="E52" s="10">
        <v>46</v>
      </c>
      <c r="F52" s="619"/>
      <c r="G52" s="312"/>
      <c r="H52" s="271"/>
      <c r="I52" s="312"/>
      <c r="J52" s="312"/>
      <c r="K52" s="312"/>
      <c r="L52" s="314"/>
      <c r="M52" s="315"/>
      <c r="N52" s="315"/>
      <c r="O52" s="315"/>
      <c r="P52" s="806"/>
      <c r="Q52" s="433"/>
    </row>
    <row r="53" spans="1:210" s="93" customFormat="1" x14ac:dyDescent="0.25">
      <c r="A53" s="57" t="str">
        <f>IF(COUNTBLANK(B53)=1," ",COUNTA($B$12:B53))</f>
        <v xml:space="preserve"> </v>
      </c>
      <c r="B53" s="729"/>
      <c r="C53" s="54" t="s">
        <v>383</v>
      </c>
      <c r="D53" s="743"/>
      <c r="E53" s="10"/>
      <c r="F53" s="619"/>
      <c r="G53" s="619"/>
      <c r="H53" s="619"/>
      <c r="I53" s="312"/>
      <c r="J53" s="312"/>
      <c r="K53" s="312"/>
      <c r="L53" s="314"/>
      <c r="M53" s="315"/>
      <c r="N53" s="315"/>
      <c r="O53" s="315"/>
      <c r="P53" s="806"/>
      <c r="Q53" s="433"/>
    </row>
    <row r="54" spans="1:210" s="93" customFormat="1" ht="22.5" x14ac:dyDescent="0.25">
      <c r="A54" s="57">
        <f>IF(COUNTBLANK(B54)=1," ",COUNTA($B$12:B54))</f>
        <v>13</v>
      </c>
      <c r="B54" s="206" t="s">
        <v>14</v>
      </c>
      <c r="C54" s="54" t="s">
        <v>399</v>
      </c>
      <c r="D54" s="743" t="s">
        <v>16</v>
      </c>
      <c r="E54" s="377">
        <f>3.04*18</f>
        <v>54.72</v>
      </c>
      <c r="F54" s="619"/>
      <c r="G54" s="312"/>
      <c r="H54" s="271"/>
      <c r="I54" s="312"/>
      <c r="J54" s="312"/>
      <c r="K54" s="312"/>
      <c r="L54" s="314"/>
      <c r="M54" s="315"/>
      <c r="N54" s="315"/>
      <c r="O54" s="315"/>
      <c r="P54" s="806"/>
      <c r="Q54" s="433"/>
    </row>
    <row r="55" spans="1:210" s="93" customFormat="1" x14ac:dyDescent="0.25">
      <c r="A55" s="57">
        <f>IF(COUNTBLANK(B55)=1," ",COUNTA($B$12:B55))</f>
        <v>14</v>
      </c>
      <c r="B55" s="206" t="s">
        <v>14</v>
      </c>
      <c r="C55" s="54" t="s">
        <v>385</v>
      </c>
      <c r="D55" s="743" t="s">
        <v>16</v>
      </c>
      <c r="E55" s="377">
        <v>55</v>
      </c>
      <c r="F55" s="619"/>
      <c r="G55" s="312"/>
      <c r="H55" s="271"/>
      <c r="I55" s="312"/>
      <c r="J55" s="312"/>
      <c r="K55" s="312"/>
      <c r="L55" s="314"/>
      <c r="M55" s="315"/>
      <c r="N55" s="315"/>
      <c r="O55" s="315"/>
      <c r="P55" s="806"/>
      <c r="Q55" s="433"/>
    </row>
    <row r="56" spans="1:210" s="93" customFormat="1" ht="22.5" x14ac:dyDescent="0.25">
      <c r="A56" s="57" t="str">
        <f>IF(COUNTBLANK(B56)=1," ",COUNTA($B$12:B56))</f>
        <v xml:space="preserve"> </v>
      </c>
      <c r="B56" s="729"/>
      <c r="C56" s="54" t="s">
        <v>400</v>
      </c>
      <c r="D56" s="743" t="s">
        <v>32</v>
      </c>
      <c r="E56" s="377">
        <f>18*5</f>
        <v>90</v>
      </c>
      <c r="F56" s="619"/>
      <c r="G56" s="621"/>
      <c r="H56" s="622"/>
      <c r="I56" s="60"/>
      <c r="J56" s="60"/>
      <c r="K56" s="60"/>
      <c r="L56" s="314"/>
      <c r="M56" s="315"/>
      <c r="N56" s="315"/>
      <c r="O56" s="315"/>
      <c r="P56" s="806"/>
      <c r="Q56" s="433"/>
    </row>
    <row r="57" spans="1:210" s="93" customFormat="1" ht="22.5" x14ac:dyDescent="0.25">
      <c r="A57" s="57" t="str">
        <f>IF(COUNTBLANK(B57)=1," ",COUNTA($B$12:B57))</f>
        <v xml:space="preserve"> </v>
      </c>
      <c r="B57" s="729"/>
      <c r="C57" s="54" t="s">
        <v>401</v>
      </c>
      <c r="D57" s="743" t="s">
        <v>16</v>
      </c>
      <c r="E57" s="377">
        <v>55</v>
      </c>
      <c r="F57" s="619"/>
      <c r="G57" s="621"/>
      <c r="H57" s="622"/>
      <c r="I57" s="136"/>
      <c r="J57" s="136"/>
      <c r="K57" s="136"/>
      <c r="L57" s="314"/>
      <c r="M57" s="315"/>
      <c r="N57" s="315"/>
      <c r="O57" s="315"/>
      <c r="P57" s="806"/>
      <c r="Q57" s="433"/>
    </row>
    <row r="58" spans="1:210" s="93" customFormat="1" x14ac:dyDescent="0.25">
      <c r="A58" s="57">
        <f>IF(COUNTBLANK(B58)=1," ",COUNTA($B$12:B58))</f>
        <v>15</v>
      </c>
      <c r="B58" s="206" t="s">
        <v>14</v>
      </c>
      <c r="C58" s="54" t="s">
        <v>402</v>
      </c>
      <c r="D58" s="743" t="s">
        <v>16</v>
      </c>
      <c r="E58" s="377">
        <v>55</v>
      </c>
      <c r="F58" s="619"/>
      <c r="G58" s="10"/>
      <c r="H58" s="271"/>
      <c r="I58" s="10"/>
      <c r="J58" s="12"/>
      <c r="K58" s="10"/>
      <c r="L58" s="314"/>
      <c r="M58" s="315"/>
      <c r="N58" s="315"/>
      <c r="O58" s="315"/>
      <c r="P58" s="806"/>
      <c r="Q58" s="433"/>
    </row>
    <row r="59" spans="1:210" s="162" customFormat="1" ht="22.5" x14ac:dyDescent="0.25">
      <c r="A59" s="57">
        <f>IF(COUNTBLANK(B59)=1," ",COUNTA($B$12:B59))</f>
        <v>16</v>
      </c>
      <c r="B59" s="206" t="s">
        <v>14</v>
      </c>
      <c r="C59" s="54" t="s">
        <v>389</v>
      </c>
      <c r="D59" s="743" t="s">
        <v>16</v>
      </c>
      <c r="E59" s="377">
        <v>55</v>
      </c>
      <c r="F59" s="619"/>
      <c r="G59" s="10"/>
      <c r="H59" s="271"/>
      <c r="I59" s="10"/>
      <c r="J59" s="12"/>
      <c r="K59" s="10"/>
      <c r="L59" s="314"/>
      <c r="M59" s="315"/>
      <c r="N59" s="315"/>
      <c r="O59" s="315"/>
      <c r="P59" s="806"/>
      <c r="Q59" s="433"/>
      <c r="R59" s="739"/>
      <c r="S59" s="739"/>
      <c r="T59" s="739"/>
      <c r="U59" s="739"/>
      <c r="V59" s="739"/>
      <c r="W59" s="739"/>
      <c r="X59" s="739"/>
      <c r="Y59" s="739"/>
      <c r="Z59" s="739"/>
      <c r="AA59" s="739"/>
      <c r="AB59" s="739"/>
      <c r="AC59" s="739"/>
      <c r="AD59" s="739"/>
      <c r="AE59" s="739"/>
      <c r="AF59" s="739"/>
      <c r="AG59" s="739"/>
      <c r="AH59" s="739"/>
      <c r="AI59" s="739"/>
      <c r="AJ59" s="739"/>
      <c r="AK59" s="739"/>
      <c r="AL59" s="739"/>
      <c r="AM59" s="739"/>
      <c r="AN59" s="739"/>
      <c r="AO59" s="739"/>
      <c r="AP59" s="739"/>
      <c r="AQ59" s="739"/>
      <c r="AR59" s="739"/>
      <c r="AS59" s="739"/>
      <c r="AT59" s="739"/>
      <c r="AU59" s="739"/>
      <c r="AV59" s="739"/>
      <c r="AW59" s="739"/>
      <c r="AX59" s="739"/>
      <c r="AY59" s="739"/>
      <c r="AZ59" s="739"/>
      <c r="BA59" s="739"/>
      <c r="BB59" s="739"/>
      <c r="BC59" s="739"/>
      <c r="BD59" s="739"/>
      <c r="BE59" s="739"/>
      <c r="BF59" s="739"/>
      <c r="BG59" s="739"/>
      <c r="BH59" s="739"/>
      <c r="BI59" s="739"/>
      <c r="BJ59" s="739"/>
      <c r="BK59" s="739"/>
      <c r="BL59" s="739"/>
      <c r="BM59" s="739"/>
      <c r="BN59" s="739"/>
      <c r="BO59" s="739"/>
      <c r="BP59" s="739"/>
      <c r="BQ59" s="739"/>
      <c r="BR59" s="739"/>
      <c r="BS59" s="739"/>
      <c r="BT59" s="739"/>
      <c r="BU59" s="739"/>
      <c r="BV59" s="739"/>
      <c r="BW59" s="739"/>
      <c r="BX59" s="739"/>
      <c r="BY59" s="739"/>
      <c r="BZ59" s="739"/>
      <c r="CA59" s="739"/>
      <c r="CB59" s="739"/>
      <c r="CC59" s="739"/>
      <c r="CD59" s="739"/>
      <c r="CE59" s="739"/>
      <c r="CF59" s="739"/>
      <c r="CG59" s="739"/>
      <c r="CH59" s="739"/>
      <c r="CI59" s="739"/>
      <c r="CJ59" s="739"/>
      <c r="CK59" s="739"/>
      <c r="CL59" s="739"/>
      <c r="CM59" s="739"/>
      <c r="CN59" s="739"/>
      <c r="CO59" s="739"/>
      <c r="CP59" s="739"/>
      <c r="CQ59" s="739"/>
      <c r="CR59" s="739"/>
      <c r="CS59" s="739"/>
      <c r="CT59" s="739"/>
      <c r="CU59" s="739"/>
      <c r="CV59" s="739"/>
      <c r="CW59" s="739"/>
      <c r="CX59" s="739"/>
      <c r="CY59" s="739"/>
      <c r="CZ59" s="739"/>
      <c r="DA59" s="739"/>
      <c r="DB59" s="739"/>
      <c r="DC59" s="739"/>
      <c r="DD59" s="739"/>
      <c r="DE59" s="739"/>
      <c r="DF59" s="739"/>
      <c r="DG59" s="739"/>
      <c r="DH59" s="739"/>
      <c r="DI59" s="739"/>
      <c r="DJ59" s="739"/>
      <c r="DK59" s="739"/>
      <c r="DL59" s="739"/>
      <c r="DM59" s="739"/>
      <c r="DN59" s="739"/>
      <c r="DO59" s="739"/>
      <c r="DP59" s="739"/>
      <c r="DQ59" s="739"/>
      <c r="DR59" s="739"/>
      <c r="DS59" s="739"/>
      <c r="DT59" s="739"/>
      <c r="DU59" s="739"/>
      <c r="DV59" s="739"/>
      <c r="DW59" s="739"/>
      <c r="DX59" s="739"/>
      <c r="DY59" s="739"/>
      <c r="DZ59" s="739"/>
      <c r="EA59" s="739"/>
      <c r="EB59" s="739"/>
      <c r="EC59" s="739"/>
      <c r="ED59" s="739"/>
      <c r="EE59" s="739"/>
      <c r="EF59" s="739"/>
      <c r="EG59" s="739"/>
      <c r="EH59" s="739"/>
      <c r="EI59" s="739"/>
      <c r="EJ59" s="739"/>
      <c r="EK59" s="739"/>
      <c r="EL59" s="739"/>
      <c r="EM59" s="739"/>
      <c r="EN59" s="739"/>
      <c r="EO59" s="739"/>
      <c r="EP59" s="739"/>
      <c r="EQ59" s="739"/>
      <c r="ER59" s="739"/>
      <c r="ES59" s="739"/>
      <c r="ET59" s="739"/>
      <c r="EU59" s="739"/>
      <c r="EV59" s="739"/>
      <c r="EW59" s="739"/>
      <c r="EX59" s="739"/>
      <c r="EY59" s="739"/>
      <c r="EZ59" s="739"/>
      <c r="FA59" s="739"/>
      <c r="FB59" s="739"/>
      <c r="FC59" s="739"/>
      <c r="FD59" s="739"/>
      <c r="FE59" s="739"/>
      <c r="FF59" s="739"/>
      <c r="FG59" s="739"/>
      <c r="FH59" s="739"/>
      <c r="FI59" s="739"/>
      <c r="FJ59" s="739"/>
      <c r="FK59" s="739"/>
      <c r="FL59" s="739"/>
      <c r="FM59" s="739"/>
      <c r="FN59" s="739"/>
      <c r="FO59" s="739"/>
      <c r="FP59" s="739"/>
      <c r="FQ59" s="739"/>
      <c r="FR59" s="739"/>
      <c r="FS59" s="739"/>
      <c r="FT59" s="739"/>
      <c r="FU59" s="739"/>
      <c r="FV59" s="739"/>
      <c r="FW59" s="739"/>
      <c r="FX59" s="739"/>
      <c r="FY59" s="739"/>
      <c r="FZ59" s="739"/>
      <c r="GA59" s="739"/>
      <c r="GB59" s="739"/>
      <c r="GC59" s="739"/>
      <c r="GD59" s="739"/>
      <c r="GE59" s="739"/>
      <c r="GF59" s="739"/>
      <c r="GG59" s="739"/>
      <c r="GH59" s="739"/>
      <c r="GI59" s="739"/>
      <c r="GJ59" s="739"/>
      <c r="GK59" s="739"/>
      <c r="GL59" s="739"/>
      <c r="GM59" s="739"/>
      <c r="GN59" s="739"/>
      <c r="GO59" s="739"/>
      <c r="GP59" s="739"/>
      <c r="GQ59" s="739"/>
      <c r="GR59" s="739"/>
      <c r="GS59" s="739"/>
      <c r="GT59" s="739"/>
      <c r="GU59" s="739"/>
      <c r="GV59" s="739"/>
      <c r="GW59" s="739"/>
      <c r="GX59" s="739"/>
      <c r="GY59" s="739"/>
      <c r="GZ59" s="739"/>
      <c r="HA59" s="739"/>
      <c r="HB59" s="739"/>
    </row>
    <row r="60" spans="1:210" s="162" customFormat="1" x14ac:dyDescent="0.25">
      <c r="A60" s="57">
        <f>IF(COUNTBLANK(B60)=1," ",COUNTA($B$12:B60))</f>
        <v>17</v>
      </c>
      <c r="B60" s="206" t="s">
        <v>14</v>
      </c>
      <c r="C60" s="54" t="s">
        <v>390</v>
      </c>
      <c r="D60" s="743" t="s">
        <v>16</v>
      </c>
      <c r="E60" s="377">
        <v>110</v>
      </c>
      <c r="F60" s="619"/>
      <c r="G60" s="136"/>
      <c r="H60" s="271"/>
      <c r="I60" s="436"/>
      <c r="J60" s="306"/>
      <c r="K60" s="136"/>
      <c r="L60" s="314"/>
      <c r="M60" s="315"/>
      <c r="N60" s="315"/>
      <c r="O60" s="315"/>
      <c r="P60" s="806"/>
      <c r="Q60" s="433"/>
      <c r="R60" s="739"/>
      <c r="S60" s="739"/>
      <c r="T60" s="739"/>
      <c r="U60" s="739"/>
      <c r="V60" s="739"/>
      <c r="W60" s="739"/>
      <c r="X60" s="739"/>
      <c r="Y60" s="739"/>
      <c r="Z60" s="739"/>
      <c r="AA60" s="739"/>
      <c r="AB60" s="739"/>
      <c r="AC60" s="739"/>
      <c r="AD60" s="739"/>
      <c r="AE60" s="739"/>
      <c r="AF60" s="739"/>
      <c r="AG60" s="739"/>
      <c r="AH60" s="739"/>
      <c r="AI60" s="739"/>
      <c r="AJ60" s="739"/>
      <c r="AK60" s="739"/>
      <c r="AL60" s="739"/>
      <c r="AM60" s="739"/>
      <c r="AN60" s="739"/>
      <c r="AO60" s="739"/>
      <c r="AP60" s="739"/>
      <c r="AQ60" s="739"/>
      <c r="AR60" s="739"/>
      <c r="AS60" s="739"/>
      <c r="AT60" s="739"/>
      <c r="AU60" s="739"/>
      <c r="AV60" s="739"/>
      <c r="AW60" s="739"/>
      <c r="AX60" s="739"/>
      <c r="AY60" s="739"/>
      <c r="AZ60" s="739"/>
      <c r="BA60" s="739"/>
      <c r="BB60" s="739"/>
      <c r="BC60" s="739"/>
      <c r="BD60" s="739"/>
      <c r="BE60" s="739"/>
      <c r="BF60" s="739"/>
      <c r="BG60" s="739"/>
      <c r="BH60" s="739"/>
      <c r="BI60" s="739"/>
      <c r="BJ60" s="739"/>
      <c r="BK60" s="739"/>
      <c r="BL60" s="739"/>
      <c r="BM60" s="739"/>
      <c r="BN60" s="739"/>
      <c r="BO60" s="739"/>
      <c r="BP60" s="739"/>
      <c r="BQ60" s="739"/>
      <c r="BR60" s="739"/>
      <c r="BS60" s="739"/>
      <c r="BT60" s="739"/>
      <c r="BU60" s="739"/>
      <c r="BV60" s="739"/>
      <c r="BW60" s="739"/>
      <c r="BX60" s="739"/>
      <c r="BY60" s="739"/>
      <c r="BZ60" s="739"/>
      <c r="CA60" s="739"/>
      <c r="CB60" s="739"/>
      <c r="CC60" s="739"/>
      <c r="CD60" s="739"/>
      <c r="CE60" s="739"/>
      <c r="CF60" s="739"/>
      <c r="CG60" s="739"/>
      <c r="CH60" s="739"/>
      <c r="CI60" s="739"/>
      <c r="CJ60" s="739"/>
      <c r="CK60" s="739"/>
      <c r="CL60" s="739"/>
      <c r="CM60" s="739"/>
      <c r="CN60" s="739"/>
      <c r="CO60" s="739"/>
      <c r="CP60" s="739"/>
      <c r="CQ60" s="739"/>
      <c r="CR60" s="739"/>
      <c r="CS60" s="739"/>
      <c r="CT60" s="739"/>
      <c r="CU60" s="739"/>
      <c r="CV60" s="739"/>
      <c r="CW60" s="739"/>
      <c r="CX60" s="739"/>
      <c r="CY60" s="739"/>
      <c r="CZ60" s="739"/>
      <c r="DA60" s="739"/>
      <c r="DB60" s="739"/>
      <c r="DC60" s="739"/>
      <c r="DD60" s="739"/>
      <c r="DE60" s="739"/>
      <c r="DF60" s="739"/>
      <c r="DG60" s="739"/>
      <c r="DH60" s="739"/>
      <c r="DI60" s="739"/>
      <c r="DJ60" s="739"/>
      <c r="DK60" s="739"/>
      <c r="DL60" s="739"/>
      <c r="DM60" s="739"/>
      <c r="DN60" s="739"/>
      <c r="DO60" s="739"/>
      <c r="DP60" s="739"/>
      <c r="DQ60" s="739"/>
      <c r="DR60" s="739"/>
      <c r="DS60" s="739"/>
      <c r="DT60" s="739"/>
      <c r="DU60" s="739"/>
      <c r="DV60" s="739"/>
      <c r="DW60" s="739"/>
      <c r="DX60" s="739"/>
      <c r="DY60" s="739"/>
      <c r="DZ60" s="739"/>
      <c r="EA60" s="739"/>
      <c r="EB60" s="739"/>
      <c r="EC60" s="739"/>
      <c r="ED60" s="739"/>
      <c r="EE60" s="739"/>
      <c r="EF60" s="739"/>
      <c r="EG60" s="739"/>
      <c r="EH60" s="739"/>
      <c r="EI60" s="739"/>
      <c r="EJ60" s="739"/>
      <c r="EK60" s="739"/>
      <c r="EL60" s="739"/>
      <c r="EM60" s="739"/>
      <c r="EN60" s="739"/>
      <c r="EO60" s="739"/>
      <c r="EP60" s="739"/>
      <c r="EQ60" s="739"/>
      <c r="ER60" s="739"/>
      <c r="ES60" s="739"/>
      <c r="ET60" s="739"/>
      <c r="EU60" s="739"/>
      <c r="EV60" s="739"/>
      <c r="EW60" s="739"/>
      <c r="EX60" s="739"/>
      <c r="EY60" s="739"/>
      <c r="EZ60" s="739"/>
      <c r="FA60" s="739"/>
      <c r="FB60" s="739"/>
      <c r="FC60" s="739"/>
      <c r="FD60" s="739"/>
      <c r="FE60" s="739"/>
      <c r="FF60" s="739"/>
      <c r="FG60" s="739"/>
      <c r="FH60" s="739"/>
      <c r="FI60" s="739"/>
      <c r="FJ60" s="739"/>
      <c r="FK60" s="739"/>
      <c r="FL60" s="739"/>
      <c r="FM60" s="739"/>
      <c r="FN60" s="739"/>
      <c r="FO60" s="739"/>
      <c r="FP60" s="739"/>
      <c r="FQ60" s="739"/>
      <c r="FR60" s="739"/>
      <c r="FS60" s="739"/>
      <c r="FT60" s="739"/>
      <c r="FU60" s="739"/>
      <c r="FV60" s="739"/>
      <c r="FW60" s="739"/>
      <c r="FX60" s="739"/>
      <c r="FY60" s="739"/>
      <c r="FZ60" s="739"/>
      <c r="GA60" s="739"/>
      <c r="GB60" s="739"/>
      <c r="GC60" s="739"/>
      <c r="GD60" s="739"/>
      <c r="GE60" s="739"/>
      <c r="GF60" s="739"/>
      <c r="GG60" s="739"/>
      <c r="GH60" s="739"/>
      <c r="GI60" s="739"/>
      <c r="GJ60" s="739"/>
      <c r="GK60" s="739"/>
      <c r="GL60" s="739"/>
      <c r="GM60" s="739"/>
      <c r="GN60" s="739"/>
      <c r="GO60" s="739"/>
      <c r="GP60" s="739"/>
      <c r="GQ60" s="739"/>
      <c r="GR60" s="739"/>
      <c r="GS60" s="739"/>
      <c r="GT60" s="739"/>
      <c r="GU60" s="739"/>
      <c r="GV60" s="739"/>
      <c r="GW60" s="739"/>
      <c r="GX60" s="739"/>
      <c r="GY60" s="739"/>
      <c r="GZ60" s="739"/>
      <c r="HA60" s="739"/>
      <c r="HB60" s="739"/>
    </row>
    <row r="61" spans="1:210" s="94" customFormat="1" x14ac:dyDescent="0.25">
      <c r="A61" s="57">
        <f>IF(COUNTBLANK(B61)=1," ",COUNTA($B$12:B61))</f>
        <v>18</v>
      </c>
      <c r="B61" s="206" t="s">
        <v>14</v>
      </c>
      <c r="C61" s="54" t="s">
        <v>391</v>
      </c>
      <c r="D61" s="743" t="s">
        <v>16</v>
      </c>
      <c r="E61" s="377">
        <v>55</v>
      </c>
      <c r="F61" s="211"/>
      <c r="G61" s="60"/>
      <c r="H61" s="271"/>
      <c r="I61" s="60"/>
      <c r="J61" s="15"/>
      <c r="K61" s="60"/>
      <c r="L61" s="314"/>
      <c r="M61" s="315"/>
      <c r="N61" s="315"/>
      <c r="O61" s="315"/>
      <c r="P61" s="806"/>
      <c r="Q61" s="433"/>
    </row>
    <row r="62" spans="1:210" s="94" customFormat="1" x14ac:dyDescent="0.25">
      <c r="A62" s="57" t="str">
        <f>IF(COUNTBLANK(B62)=1," ",COUNTA($B$12:B62))</f>
        <v xml:space="preserve"> </v>
      </c>
      <c r="B62" s="210"/>
      <c r="C62" s="327" t="s">
        <v>21</v>
      </c>
      <c r="D62" s="207" t="s">
        <v>32</v>
      </c>
      <c r="E62" s="211">
        <f>E61*F62</f>
        <v>330</v>
      </c>
      <c r="F62" s="211">
        <v>6</v>
      </c>
      <c r="G62" s="60"/>
      <c r="H62" s="60"/>
      <c r="I62" s="60"/>
      <c r="J62" s="60"/>
      <c r="K62" s="60"/>
      <c r="L62" s="314"/>
      <c r="M62" s="315"/>
      <c r="N62" s="315"/>
      <c r="O62" s="315"/>
      <c r="P62" s="806"/>
      <c r="Q62" s="433"/>
    </row>
    <row r="63" spans="1:210" s="94" customFormat="1" x14ac:dyDescent="0.25">
      <c r="A63" s="57" t="str">
        <f>IF(COUNTBLANK(B63)=1," ",COUNTA($B$12:B63))</f>
        <v xml:space="preserve"> </v>
      </c>
      <c r="B63" s="210"/>
      <c r="C63" s="448" t="s">
        <v>441</v>
      </c>
      <c r="D63" s="204" t="s">
        <v>17</v>
      </c>
      <c r="E63" s="211">
        <f>E61*F63</f>
        <v>8.25</v>
      </c>
      <c r="F63" s="211">
        <v>0.15</v>
      </c>
      <c r="G63" s="60"/>
      <c r="H63" s="60"/>
      <c r="I63" s="60"/>
      <c r="J63" s="60"/>
      <c r="K63" s="60"/>
      <c r="L63" s="314"/>
      <c r="M63" s="315"/>
      <c r="N63" s="315"/>
      <c r="O63" s="315"/>
      <c r="P63" s="806"/>
      <c r="Q63" s="433"/>
    </row>
    <row r="64" spans="1:210" s="93" customFormat="1" ht="22.5" x14ac:dyDescent="0.25">
      <c r="A64" s="57">
        <f>IF(COUNTBLANK(B64)=1," ",COUNTA($B$12:B64))</f>
        <v>19</v>
      </c>
      <c r="B64" s="206" t="s">
        <v>14</v>
      </c>
      <c r="C64" s="54" t="s">
        <v>392</v>
      </c>
      <c r="D64" s="743" t="s">
        <v>17</v>
      </c>
      <c r="E64" s="10">
        <v>79</v>
      </c>
      <c r="F64" s="619"/>
      <c r="G64" s="60"/>
      <c r="H64" s="271"/>
      <c r="I64" s="60"/>
      <c r="J64" s="60"/>
      <c r="K64" s="60"/>
      <c r="L64" s="314"/>
      <c r="M64" s="315"/>
      <c r="N64" s="315"/>
      <c r="O64" s="315"/>
      <c r="P64" s="806"/>
      <c r="Q64" s="433"/>
    </row>
    <row r="65" spans="1:17" s="93" customFormat="1" ht="22.5" x14ac:dyDescent="0.25">
      <c r="A65" s="57" t="str">
        <f>IF(COUNTBLANK(B65)=1," ",COUNTA($B$12:B65))</f>
        <v xml:space="preserve"> </v>
      </c>
      <c r="B65" s="729"/>
      <c r="C65" s="54" t="s">
        <v>393</v>
      </c>
      <c r="D65" s="743"/>
      <c r="E65" s="377"/>
      <c r="F65" s="619"/>
      <c r="G65" s="621"/>
      <c r="H65" s="622"/>
      <c r="I65" s="312"/>
      <c r="J65" s="312"/>
      <c r="K65" s="312"/>
      <c r="L65" s="314"/>
      <c r="M65" s="315"/>
      <c r="N65" s="315"/>
      <c r="O65" s="315"/>
      <c r="P65" s="806"/>
      <c r="Q65" s="433"/>
    </row>
    <row r="66" spans="1:17" s="93" customFormat="1" x14ac:dyDescent="0.25">
      <c r="A66" s="398"/>
      <c r="B66" s="224"/>
      <c r="C66" s="250"/>
      <c r="D66" s="723"/>
      <c r="E66" s="383"/>
      <c r="F66" s="227"/>
      <c r="G66" s="395"/>
      <c r="H66" s="393"/>
      <c r="I66" s="395"/>
      <c r="J66" s="395"/>
      <c r="K66" s="395"/>
      <c r="L66" s="309"/>
      <c r="M66" s="313"/>
      <c r="N66" s="313"/>
      <c r="O66" s="313"/>
      <c r="P66" s="313"/>
      <c r="Q66" s="313"/>
    </row>
    <row r="67" spans="1:17" s="343" customFormat="1" x14ac:dyDescent="0.25">
      <c r="A67" s="398"/>
      <c r="B67" s="74"/>
      <c r="C67" s="353" t="s">
        <v>179</v>
      </c>
      <c r="D67" s="17"/>
      <c r="E67" s="162"/>
      <c r="F67" s="162"/>
      <c r="G67" s="17"/>
      <c r="H67" s="17"/>
      <c r="I67" s="17"/>
      <c r="J67" s="17"/>
      <c r="K67" s="17"/>
      <c r="L67" s="17"/>
      <c r="M67" s="20">
        <f>SUM(M13:M65)</f>
        <v>0</v>
      </c>
      <c r="N67" s="20">
        <f>SUM(N13:N65)</f>
        <v>0</v>
      </c>
      <c r="O67" s="20">
        <f>SUM(O13:O65)</f>
        <v>0</v>
      </c>
      <c r="P67" s="20">
        <f>SUM(P13:P65)</f>
        <v>0</v>
      </c>
      <c r="Q67" s="20">
        <f>SUM(Q13:Q65)</f>
        <v>0</v>
      </c>
    </row>
    <row r="68" spans="1:17" s="348" customFormat="1" x14ac:dyDescent="0.25">
      <c r="A68" s="398"/>
      <c r="B68" s="74"/>
      <c r="C68" s="71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s="348" customFormat="1" x14ac:dyDescent="0.25">
      <c r="A69" s="398"/>
      <c r="B69" s="140" t="str">
        <f>sas</f>
        <v>Sastādīja:</v>
      </c>
      <c r="C69" s="8"/>
      <c r="D69" s="723"/>
      <c r="E69" s="723"/>
      <c r="F69" s="723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s="348" customFormat="1" x14ac:dyDescent="0.25">
      <c r="A70" s="398"/>
      <c r="B70" s="144"/>
      <c r="C70" s="378" t="s">
        <v>145</v>
      </c>
      <c r="D70" s="144"/>
      <c r="E70" s="144"/>
      <c r="F70" s="723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s="76" customFormat="1" x14ac:dyDescent="0.25">
      <c r="A71" s="398"/>
      <c r="B71" s="161"/>
      <c r="C71" s="143"/>
      <c r="D71" s="144"/>
      <c r="E71" s="144"/>
      <c r="F71" s="723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s="76" customFormat="1" x14ac:dyDescent="0.25">
      <c r="A72" s="398"/>
      <c r="B72" s="140" t="str">
        <f>dat</f>
        <v>Tāme sastādīta 201__. gada __.____________</v>
      </c>
      <c r="C72" s="8"/>
      <c r="D72" s="144"/>
      <c r="E72" s="144"/>
      <c r="F72" s="723"/>
      <c r="G72" s="78"/>
      <c r="H72" s="78"/>
      <c r="I72" s="78"/>
      <c r="J72" s="78"/>
      <c r="K72" s="78"/>
      <c r="M72" s="78"/>
      <c r="N72" s="78"/>
      <c r="O72" s="78"/>
      <c r="P72" s="78"/>
      <c r="Q72" s="78"/>
    </row>
    <row r="73" spans="1:17" s="343" customFormat="1" x14ac:dyDescent="0.25">
      <c r="A73" s="398"/>
      <c r="B73" s="161"/>
      <c r="C73" s="143"/>
      <c r="D73" s="144"/>
      <c r="E73" s="144"/>
      <c r="F73" s="723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s="343" customFormat="1" x14ac:dyDescent="0.25">
      <c r="A74" s="148"/>
      <c r="B74" s="144" t="s">
        <v>147</v>
      </c>
      <c r="C74" s="8"/>
      <c r="D74" s="287"/>
      <c r="E74" s="287"/>
      <c r="F74" s="739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</row>
    <row r="75" spans="1:17" s="343" customFormat="1" x14ac:dyDescent="0.25">
      <c r="A75" s="398"/>
      <c r="B75" s="144"/>
      <c r="C75" s="378" t="s">
        <v>145</v>
      </c>
      <c r="D75" s="287"/>
      <c r="E75" s="287"/>
      <c r="F75" s="739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17" x14ac:dyDescent="0.25">
      <c r="A76" s="398"/>
      <c r="B76" s="161"/>
      <c r="C76" s="8" t="s">
        <v>148</v>
      </c>
      <c r="D76" s="287"/>
      <c r="E76" s="287"/>
      <c r="F76" s="739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x14ac:dyDescent="0.25">
      <c r="A77" s="399"/>
      <c r="B77" s="18"/>
      <c r="C77" s="35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x14ac:dyDescent="0.25">
      <c r="A78" s="399"/>
      <c r="B78" s="18"/>
      <c r="C78" s="354"/>
      <c r="D78" s="18"/>
      <c r="E78" s="18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</row>
    <row r="79" spans="1:17" s="76" customFormat="1" x14ac:dyDescent="0.25">
      <c r="A79" s="398"/>
      <c r="B79" s="74"/>
      <c r="C79" s="35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</row>
    <row r="80" spans="1:17" s="76" customFormat="1" x14ac:dyDescent="0.25">
      <c r="A80" s="398"/>
      <c r="B80" s="74"/>
      <c r="C80" s="35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</row>
    <row r="81" spans="1:17" s="76" customFormat="1" x14ac:dyDescent="0.25">
      <c r="A81" s="398"/>
      <c r="B81" s="74"/>
      <c r="C81" s="354"/>
      <c r="D81" s="74"/>
      <c r="E81" s="74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s="76" customFormat="1" x14ac:dyDescent="0.25">
      <c r="A82" s="400"/>
      <c r="B82" s="78"/>
      <c r="C82" s="71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s="343" customFormat="1" x14ac:dyDescent="0.25">
      <c r="A83" s="400"/>
      <c r="B83" s="78"/>
      <c r="C83" s="71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x14ac:dyDescent="0.25">
      <c r="A84" s="400"/>
      <c r="B84" s="78"/>
      <c r="C84" s="71"/>
      <c r="D84" s="78"/>
      <c r="E84" s="7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s="343" customFormat="1" x14ac:dyDescent="0.25">
      <c r="A85" s="399"/>
      <c r="B85" s="18"/>
      <c r="C85" s="354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s="343" customFormat="1" x14ac:dyDescent="0.25">
      <c r="A86" s="399"/>
      <c r="B86" s="18"/>
      <c r="C86" s="354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s="343" customFormat="1" x14ac:dyDescent="0.25">
      <c r="A87" s="399"/>
      <c r="B87" s="18"/>
      <c r="C87" s="354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x14ac:dyDescent="0.25">
      <c r="A88" s="399"/>
      <c r="B88" s="18"/>
      <c r="C88" s="354"/>
      <c r="D88" s="18"/>
      <c r="E88" s="18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</row>
    <row r="89" spans="1:17" x14ac:dyDescent="0.25">
      <c r="A89" s="398"/>
      <c r="B89" s="74"/>
      <c r="C89" s="354"/>
      <c r="D89" s="74"/>
      <c r="E89" s="74"/>
      <c r="F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s="348" customFormat="1" x14ac:dyDescent="0.25">
      <c r="A90" s="400"/>
      <c r="B90" s="78"/>
      <c r="C90" s="71"/>
      <c r="D90" s="78"/>
      <c r="E90" s="78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</row>
    <row r="91" spans="1:17" s="348" customFormat="1" x14ac:dyDescent="0.25">
      <c r="A91" s="398"/>
      <c r="B91" s="74"/>
      <c r="C91" s="35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</row>
    <row r="92" spans="1:17" s="348" customFormat="1" x14ac:dyDescent="0.25">
      <c r="A92" s="398"/>
      <c r="B92" s="74"/>
      <c r="C92" s="35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</row>
    <row r="93" spans="1:17" s="348" customFormat="1" x14ac:dyDescent="0.25">
      <c r="A93" s="398"/>
      <c r="B93" s="74"/>
      <c r="C93" s="354"/>
      <c r="D93" s="74"/>
      <c r="E93" s="74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s="76" customFormat="1" x14ac:dyDescent="0.25">
      <c r="A94" s="400"/>
      <c r="B94" s="78"/>
      <c r="C94" s="71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s="76" customFormat="1" x14ac:dyDescent="0.25">
      <c r="A95" s="400"/>
      <c r="B95" s="78"/>
      <c r="C95" s="71"/>
      <c r="D95" s="78"/>
      <c r="E95" s="78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s="343" customFormat="1" x14ac:dyDescent="0.25">
      <c r="A96" s="401"/>
      <c r="B96" s="22"/>
      <c r="C96" s="7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s="343" customFormat="1" x14ac:dyDescent="0.25">
      <c r="A97" s="401"/>
      <c r="B97" s="22"/>
      <c r="C97" s="7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s="343" customFormat="1" x14ac:dyDescent="0.25">
      <c r="A98" s="401"/>
      <c r="B98" s="22"/>
      <c r="C98" s="7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401"/>
      <c r="B99" s="22"/>
      <c r="C99" s="71"/>
      <c r="D99" s="22"/>
      <c r="E99" s="2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s="82" customFormat="1" x14ac:dyDescent="0.25">
      <c r="A100" s="399"/>
      <c r="B100" s="18"/>
      <c r="C100" s="354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s="82" customFormat="1" x14ac:dyDescent="0.25">
      <c r="A101" s="399"/>
      <c r="B101" s="18"/>
      <c r="C101" s="354"/>
      <c r="D101" s="18"/>
      <c r="E101" s="18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</row>
    <row r="102" spans="1:17" x14ac:dyDescent="0.25">
      <c r="A102" s="398"/>
      <c r="B102" s="74"/>
      <c r="C102" s="35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</row>
    <row r="103" spans="1:17" x14ac:dyDescent="0.25">
      <c r="A103" s="398"/>
      <c r="B103" s="74"/>
      <c r="C103" s="35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</row>
    <row r="104" spans="1:17" s="76" customFormat="1" x14ac:dyDescent="0.25">
      <c r="A104" s="398"/>
      <c r="B104" s="74"/>
      <c r="C104" s="354"/>
      <c r="D104" s="74"/>
      <c r="E104" s="74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s="76" customFormat="1" x14ac:dyDescent="0.25">
      <c r="A105" s="400"/>
      <c r="B105" s="78"/>
      <c r="C105" s="71"/>
      <c r="D105" s="78"/>
      <c r="E105" s="78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</row>
    <row r="106" spans="1:17" s="76" customFormat="1" x14ac:dyDescent="0.25">
      <c r="A106" s="402"/>
      <c r="B106" s="82"/>
      <c r="C106" s="355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</row>
    <row r="107" spans="1:17" x14ac:dyDescent="0.25">
      <c r="A107" s="402"/>
      <c r="B107" s="82"/>
      <c r="C107" s="355"/>
      <c r="D107" s="82"/>
      <c r="E107" s="82"/>
      <c r="F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s="82" customFormat="1" x14ac:dyDescent="0.25">
      <c r="A108" s="400"/>
      <c r="B108" s="78"/>
      <c r="C108" s="71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s="82" customFormat="1" x14ac:dyDescent="0.25">
      <c r="A109" s="400"/>
      <c r="B109" s="78"/>
      <c r="C109" s="71"/>
      <c r="D109" s="78"/>
      <c r="E109" s="7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s="82" customFormat="1" x14ac:dyDescent="0.25">
      <c r="A110" s="399"/>
      <c r="B110" s="18"/>
      <c r="C110" s="354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s="82" customFormat="1" x14ac:dyDescent="0.25">
      <c r="A111" s="399"/>
      <c r="B111" s="18"/>
      <c r="C111" s="354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s="82" customFormat="1" x14ac:dyDescent="0.25">
      <c r="A112" s="399"/>
      <c r="B112" s="18"/>
      <c r="C112" s="354"/>
      <c r="D112" s="18"/>
      <c r="E112" s="1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s="82" customFormat="1" x14ac:dyDescent="0.25">
      <c r="A113" s="400"/>
      <c r="B113" s="78"/>
      <c r="C113" s="71"/>
      <c r="D113" s="78"/>
      <c r="E113" s="78"/>
    </row>
    <row r="114" spans="1:17" s="82" customFormat="1" x14ac:dyDescent="0.25">
      <c r="A114" s="402"/>
      <c r="C114" s="355"/>
    </row>
    <row r="115" spans="1:17" s="82" customFormat="1" x14ac:dyDescent="0.25">
      <c r="A115" s="402"/>
      <c r="C115" s="355"/>
    </row>
    <row r="116" spans="1:17" s="82" customFormat="1" x14ac:dyDescent="0.25">
      <c r="A116" s="402"/>
      <c r="C116" s="355"/>
    </row>
    <row r="117" spans="1:17" s="82" customFormat="1" x14ac:dyDescent="0.25">
      <c r="A117" s="402"/>
      <c r="C117" s="355"/>
    </row>
    <row r="118" spans="1:17" s="82" customFormat="1" x14ac:dyDescent="0.25">
      <c r="A118" s="402"/>
      <c r="C118" s="355"/>
    </row>
    <row r="119" spans="1:17" s="82" customFormat="1" x14ac:dyDescent="0.25">
      <c r="A119" s="402"/>
      <c r="C119" s="355"/>
    </row>
    <row r="120" spans="1:17" s="82" customFormat="1" x14ac:dyDescent="0.25">
      <c r="A120" s="402"/>
      <c r="C120" s="355"/>
    </row>
    <row r="121" spans="1:17" s="82" customFormat="1" x14ac:dyDescent="0.25">
      <c r="A121" s="402"/>
      <c r="C121" s="355"/>
    </row>
    <row r="122" spans="1:17" s="82" customFormat="1" x14ac:dyDescent="0.25">
      <c r="A122" s="402"/>
      <c r="C122" s="355"/>
    </row>
    <row r="123" spans="1:17" s="82" customFormat="1" x14ac:dyDescent="0.25">
      <c r="A123" s="402"/>
      <c r="C123" s="355"/>
    </row>
    <row r="124" spans="1:17" x14ac:dyDescent="0.25">
      <c r="A124" s="402"/>
      <c r="B124" s="82"/>
      <c r="C124" s="355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</row>
    <row r="125" spans="1:17" x14ac:dyDescent="0.25">
      <c r="A125" s="402"/>
      <c r="B125" s="82"/>
      <c r="C125" s="355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</row>
    <row r="126" spans="1:17" x14ac:dyDescent="0.25">
      <c r="A126" s="402"/>
      <c r="B126" s="82"/>
      <c r="C126" s="355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</row>
    <row r="127" spans="1:17" x14ac:dyDescent="0.25">
      <c r="A127" s="402"/>
      <c r="B127" s="82"/>
      <c r="C127" s="355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</row>
    <row r="128" spans="1:17" x14ac:dyDescent="0.25">
      <c r="A128" s="402"/>
      <c r="B128" s="82"/>
      <c r="C128" s="355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</row>
    <row r="129" spans="1:7" x14ac:dyDescent="0.25">
      <c r="A129" s="402"/>
      <c r="B129" s="82"/>
      <c r="C129" s="355"/>
      <c r="D129" s="82"/>
      <c r="E129" s="82"/>
      <c r="G129" s="733"/>
    </row>
    <row r="130" spans="1:7" x14ac:dyDescent="0.25">
      <c r="G130" s="733"/>
    </row>
    <row r="131" spans="1:7" x14ac:dyDescent="0.25">
      <c r="G131" s="733"/>
    </row>
    <row r="132" spans="1:7" x14ac:dyDescent="0.25">
      <c r="G132" s="733"/>
    </row>
    <row r="133" spans="1:7" x14ac:dyDescent="0.25">
      <c r="G133" s="733"/>
    </row>
    <row r="134" spans="1:7" x14ac:dyDescent="0.25">
      <c r="G134" s="733"/>
    </row>
    <row r="135" spans="1:7" x14ac:dyDescent="0.25">
      <c r="G135" s="733"/>
    </row>
    <row r="136" spans="1:7" x14ac:dyDescent="0.25">
      <c r="G136" s="733"/>
    </row>
    <row r="137" spans="1:7" x14ac:dyDescent="0.25">
      <c r="G137" s="733"/>
    </row>
  </sheetData>
  <autoFilter ref="A11:IH67" xr:uid="{00000000-0009-0000-0000-000012000000}"/>
  <mergeCells count="7"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  <rowBreaks count="1" manualBreakCount="1">
    <brk id="64" max="1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GI376"/>
  <sheetViews>
    <sheetView tabSelected="1" view="pageBreakPreview" topLeftCell="A343" zoomScale="85" zoomScaleNormal="85" zoomScaleSheetLayoutView="85" workbookViewId="0">
      <selection activeCell="C137" sqref="C137"/>
    </sheetView>
  </sheetViews>
  <sheetFormatPr defaultColWidth="8.7109375" defaultRowHeight="11.25" x14ac:dyDescent="0.25"/>
  <cols>
    <col min="1" max="1" width="5.140625" style="32" customWidth="1"/>
    <col min="2" max="2" width="3.85546875" style="100" customWidth="1"/>
    <col min="3" max="3" width="46.42578125" style="130" customWidth="1"/>
    <col min="4" max="4" width="6.85546875" style="100" customWidth="1"/>
    <col min="5" max="5" width="4.85546875" style="287" customWidth="1"/>
    <col min="6" max="6" width="4.85546875" style="100" hidden="1" customWidth="1"/>
    <col min="7" max="7" width="7.42578125" style="100" customWidth="1"/>
    <col min="8" max="8" width="6.7109375" style="100" customWidth="1"/>
    <col min="9" max="9" width="7.140625" style="100" customWidth="1"/>
    <col min="10" max="10" width="6.28515625" style="121" customWidth="1"/>
    <col min="11" max="11" width="7.42578125" style="370" customWidth="1"/>
    <col min="12" max="12" width="6.28515625" style="370" customWidth="1"/>
    <col min="13" max="13" width="7.85546875" style="100" customWidth="1"/>
    <col min="14" max="14" width="8.7109375" style="100" customWidth="1"/>
    <col min="15" max="15" width="8.42578125" style="100" customWidth="1"/>
    <col min="16" max="16" width="6.5703125" style="370" customWidth="1"/>
    <col min="17" max="17" width="10.42578125" style="370" customWidth="1"/>
    <col min="18" max="16384" width="8.7109375" style="100"/>
  </cols>
  <sheetData>
    <row r="1" spans="1:18" s="27" customFormat="1" x14ac:dyDescent="0.25">
      <c r="A1" s="837" t="s">
        <v>6</v>
      </c>
      <c r="B1" s="837"/>
      <c r="C1" s="837"/>
      <c r="D1" s="837"/>
      <c r="E1" s="837"/>
      <c r="F1" s="731"/>
      <c r="G1" s="100">
        <f>KPDV!B31</f>
        <v>19</v>
      </c>
      <c r="H1" s="100"/>
      <c r="I1" s="100"/>
      <c r="J1" s="121"/>
      <c r="K1" s="370"/>
      <c r="L1" s="370"/>
      <c r="M1" s="100"/>
      <c r="N1" s="100"/>
      <c r="O1" s="100"/>
      <c r="P1" s="370"/>
      <c r="Q1" s="370"/>
    </row>
    <row r="2" spans="1:18" s="27" customFormat="1" x14ac:dyDescent="0.25">
      <c r="A2" s="267"/>
      <c r="B2" s="731"/>
      <c r="C2" s="371" t="s">
        <v>108</v>
      </c>
      <c r="D2" s="731"/>
      <c r="E2" s="134"/>
      <c r="F2" s="731"/>
      <c r="G2" s="100"/>
      <c r="H2" s="100"/>
      <c r="I2" s="100"/>
      <c r="J2" s="121"/>
      <c r="K2" s="370"/>
      <c r="L2" s="370"/>
      <c r="M2" s="100"/>
      <c r="N2" s="100"/>
      <c r="O2" s="100"/>
      <c r="P2" s="370"/>
      <c r="Q2" s="370"/>
    </row>
    <row r="3" spans="1:18" s="27" customFormat="1" x14ac:dyDescent="0.25">
      <c r="A3" s="190" t="str">
        <f>nos</f>
        <v>Būves nosaukums:  Dzīvojamās māja</v>
      </c>
      <c r="B3" s="28"/>
      <c r="C3" s="28"/>
      <c r="D3" s="28"/>
      <c r="E3" s="220"/>
      <c r="F3" s="28"/>
      <c r="G3" s="100"/>
      <c r="H3" s="100"/>
      <c r="I3" s="100"/>
      <c r="J3" s="121"/>
      <c r="K3" s="370"/>
      <c r="L3" s="370"/>
      <c r="M3" s="100"/>
      <c r="N3" s="100"/>
      <c r="O3" s="100"/>
      <c r="P3" s="370"/>
      <c r="Q3" s="370"/>
    </row>
    <row r="4" spans="1:18" s="27" customFormat="1" x14ac:dyDescent="0.25">
      <c r="A4" s="168" t="str">
        <f>obj</f>
        <v>Objekta nosaukums: Dzīvojamās ēkas fasādes vienkāršota atjaunošana</v>
      </c>
      <c r="B4" s="28"/>
      <c r="C4" s="28"/>
      <c r="D4" s="28"/>
      <c r="E4" s="220"/>
      <c r="F4" s="28"/>
      <c r="G4" s="100"/>
      <c r="H4" s="100"/>
      <c r="I4" s="100"/>
      <c r="J4" s="121"/>
      <c r="K4" s="370"/>
      <c r="L4" s="370"/>
      <c r="M4" s="100"/>
      <c r="N4" s="100"/>
      <c r="O4" s="100"/>
      <c r="P4" s="370"/>
      <c r="Q4" s="370"/>
    </row>
    <row r="5" spans="1:18" s="372" customFormat="1" x14ac:dyDescent="0.25">
      <c r="A5" s="168" t="str">
        <f>adres</f>
        <v>Objekta adrese: Aisteres iela 7, Liepājā</v>
      </c>
      <c r="B5" s="28"/>
      <c r="C5" s="28"/>
      <c r="D5" s="28"/>
      <c r="E5" s="220"/>
      <c r="F5" s="28"/>
      <c r="G5" s="100"/>
      <c r="H5" s="100"/>
      <c r="I5" s="100"/>
      <c r="J5" s="121"/>
      <c r="K5" s="370"/>
      <c r="L5" s="370"/>
      <c r="M5" s="100"/>
      <c r="N5" s="100"/>
      <c r="O5" s="100"/>
      <c r="P5" s="370"/>
      <c r="Q5" s="370"/>
    </row>
    <row r="6" spans="1:18" s="372" customFormat="1" ht="12" thickBot="1" x14ac:dyDescent="0.3">
      <c r="A6" s="168" t="str">
        <f>nr</f>
        <v>Pasūtījuma Nr.WS-41-17</v>
      </c>
      <c r="B6" s="28"/>
      <c r="C6" s="28"/>
      <c r="D6" s="28"/>
      <c r="E6" s="220"/>
      <c r="F6" s="28"/>
      <c r="G6" s="100"/>
      <c r="H6" s="100"/>
      <c r="I6" s="100"/>
      <c r="J6" s="121"/>
      <c r="K6" s="370"/>
      <c r="L6" s="370"/>
      <c r="M6" s="100"/>
      <c r="N6" s="100"/>
      <c r="O6" s="100"/>
      <c r="P6" s="370"/>
      <c r="Q6" s="370"/>
    </row>
    <row r="7" spans="1:18" s="372" customFormat="1" ht="12" thickBot="1" x14ac:dyDescent="0.3">
      <c r="A7" s="190"/>
      <c r="B7" s="7"/>
      <c r="C7" s="186" t="s">
        <v>695</v>
      </c>
      <c r="D7" s="162"/>
      <c r="E7" s="171" t="s">
        <v>158</v>
      </c>
      <c r="F7" s="171"/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194">
        <f>Q363</f>
        <v>0</v>
      </c>
    </row>
    <row r="8" spans="1:18" s="372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">
        <v>146</v>
      </c>
      <c r="Q8" s="370"/>
    </row>
    <row r="9" spans="1:18" s="32" customFormat="1" ht="18" x14ac:dyDescent="0.25">
      <c r="A9" s="830" t="s">
        <v>7</v>
      </c>
      <c r="B9" s="831" t="s">
        <v>8</v>
      </c>
      <c r="C9" s="848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  <c r="R9" s="695"/>
    </row>
    <row r="10" spans="1:18" s="32" customFormat="1" ht="69" x14ac:dyDescent="0.25">
      <c r="A10" s="830"/>
      <c r="B10" s="831"/>
      <c r="C10" s="850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  <c r="R10" s="695"/>
    </row>
    <row r="11" spans="1:18" s="32" customFormat="1" ht="18" x14ac:dyDescent="0.25">
      <c r="A11" s="410">
        <v>1</v>
      </c>
      <c r="B11" s="33">
        <f t="shared" ref="B11:Q11" si="0">A11+1</f>
        <v>2</v>
      </c>
      <c r="C11" s="337">
        <f t="shared" si="0"/>
        <v>3</v>
      </c>
      <c r="D11" s="33">
        <f>C11+1</f>
        <v>4</v>
      </c>
      <c r="E11" s="33">
        <f>D11+1</f>
        <v>5</v>
      </c>
      <c r="F11" s="33"/>
      <c r="G11" s="33">
        <f>E11+1</f>
        <v>6</v>
      </c>
      <c r="H11" s="33">
        <f t="shared" si="0"/>
        <v>7</v>
      </c>
      <c r="I11" s="33">
        <f t="shared" si="0"/>
        <v>8</v>
      </c>
      <c r="J11" s="237">
        <f t="shared" si="0"/>
        <v>9</v>
      </c>
      <c r="K11" s="33">
        <f t="shared" si="0"/>
        <v>10</v>
      </c>
      <c r="L11" s="33">
        <f t="shared" si="0"/>
        <v>11</v>
      </c>
      <c r="M11" s="33">
        <f t="shared" si="0"/>
        <v>12</v>
      </c>
      <c r="N11" s="33">
        <f t="shared" si="0"/>
        <v>13</v>
      </c>
      <c r="O11" s="33">
        <f t="shared" si="0"/>
        <v>14</v>
      </c>
      <c r="P11" s="33">
        <f t="shared" si="0"/>
        <v>15</v>
      </c>
      <c r="Q11" s="33">
        <f t="shared" si="0"/>
        <v>16</v>
      </c>
      <c r="R11" s="695"/>
    </row>
    <row r="12" spans="1:18" s="32" customFormat="1" ht="22.5" x14ac:dyDescent="0.25">
      <c r="A12" s="582">
        <v>0</v>
      </c>
      <c r="B12" s="111"/>
      <c r="C12" s="583" t="s">
        <v>693</v>
      </c>
      <c r="D12" s="394" t="s">
        <v>694</v>
      </c>
      <c r="E12" s="726">
        <v>1</v>
      </c>
      <c r="F12" s="394"/>
      <c r="G12" s="568"/>
      <c r="H12" s="568"/>
      <c r="I12" s="568"/>
      <c r="J12" s="568"/>
      <c r="K12" s="462"/>
      <c r="L12" s="462"/>
      <c r="M12" s="569"/>
      <c r="N12" s="569"/>
      <c r="O12" s="569"/>
      <c r="P12" s="569"/>
      <c r="Q12" s="569"/>
      <c r="R12" s="695"/>
    </row>
    <row r="13" spans="1:18" s="32" customFormat="1" ht="18" x14ac:dyDescent="0.25">
      <c r="A13" s="563"/>
      <c r="B13" s="563"/>
      <c r="C13" s="234" t="s">
        <v>638</v>
      </c>
      <c r="D13" s="563"/>
      <c r="E13" s="563"/>
      <c r="F13" s="563"/>
      <c r="G13" s="33"/>
      <c r="H13" s="33"/>
      <c r="I13" s="33"/>
      <c r="J13" s="237"/>
      <c r="K13" s="33"/>
      <c r="L13" s="33"/>
      <c r="M13" s="33"/>
      <c r="N13" s="33"/>
      <c r="O13" s="33"/>
      <c r="P13" s="33"/>
      <c r="Q13" s="33"/>
      <c r="R13" s="695"/>
    </row>
    <row r="14" spans="1:18" s="32" customFormat="1" ht="22.5" x14ac:dyDescent="0.25">
      <c r="A14" s="750">
        <v>1</v>
      </c>
      <c r="B14" s="750"/>
      <c r="C14" s="883" t="s">
        <v>922</v>
      </c>
      <c r="D14" s="742" t="s">
        <v>16</v>
      </c>
      <c r="E14" s="742">
        <v>20</v>
      </c>
      <c r="F14" s="742"/>
      <c r="G14" s="128"/>
      <c r="H14" s="122"/>
      <c r="I14" s="128"/>
      <c r="J14" s="578"/>
      <c r="K14" s="122"/>
      <c r="L14" s="122"/>
      <c r="M14" s="126"/>
      <c r="N14" s="126"/>
      <c r="O14" s="126"/>
      <c r="P14" s="126"/>
      <c r="Q14" s="126"/>
    </row>
    <row r="15" spans="1:18" s="32" customFormat="1" ht="22.5" x14ac:dyDescent="0.25">
      <c r="A15" s="750">
        <v>2</v>
      </c>
      <c r="B15" s="750"/>
      <c r="C15" s="883" t="s">
        <v>923</v>
      </c>
      <c r="D15" s="742" t="s">
        <v>16</v>
      </c>
      <c r="E15" s="742">
        <v>50</v>
      </c>
      <c r="F15" s="742"/>
      <c r="G15" s="123"/>
      <c r="H15" s="122"/>
      <c r="I15" s="123"/>
      <c r="J15" s="579"/>
      <c r="K15" s="122"/>
      <c r="L15" s="122"/>
      <c r="M15" s="126"/>
      <c r="N15" s="126"/>
      <c r="O15" s="126"/>
      <c r="P15" s="126"/>
      <c r="Q15" s="126"/>
    </row>
    <row r="16" spans="1:18" s="32" customFormat="1" ht="22.5" x14ac:dyDescent="0.25">
      <c r="A16" s="750">
        <v>3</v>
      </c>
      <c r="B16" s="750"/>
      <c r="C16" s="883" t="s">
        <v>924</v>
      </c>
      <c r="D16" s="742" t="s">
        <v>16</v>
      </c>
      <c r="E16" s="742">
        <v>25</v>
      </c>
      <c r="F16" s="742"/>
      <c r="G16" s="123"/>
      <c r="H16" s="122"/>
      <c r="I16" s="123"/>
      <c r="J16" s="579"/>
      <c r="K16" s="122"/>
      <c r="L16" s="122"/>
      <c r="M16" s="126"/>
      <c r="N16" s="126"/>
      <c r="O16" s="126"/>
      <c r="P16" s="126"/>
      <c r="Q16" s="126"/>
    </row>
    <row r="17" spans="1:17" s="32" customFormat="1" ht="22.5" x14ac:dyDescent="0.25">
      <c r="A17" s="750">
        <v>4</v>
      </c>
      <c r="B17" s="750"/>
      <c r="C17" s="883" t="s">
        <v>925</v>
      </c>
      <c r="D17" s="742" t="s">
        <v>16</v>
      </c>
      <c r="E17" s="742">
        <v>20</v>
      </c>
      <c r="F17" s="742"/>
      <c r="G17" s="123"/>
      <c r="H17" s="122"/>
      <c r="I17" s="123"/>
      <c r="J17" s="579"/>
      <c r="K17" s="122"/>
      <c r="L17" s="122"/>
      <c r="M17" s="126"/>
      <c r="N17" s="126"/>
      <c r="O17" s="126"/>
      <c r="P17" s="126"/>
      <c r="Q17" s="126"/>
    </row>
    <row r="18" spans="1:17" s="32" customFormat="1" ht="22.5" x14ac:dyDescent="0.25">
      <c r="A18" s="750">
        <v>5</v>
      </c>
      <c r="B18" s="750"/>
      <c r="C18" s="883" t="s">
        <v>926</v>
      </c>
      <c r="D18" s="742" t="s">
        <v>16</v>
      </c>
      <c r="E18" s="742">
        <v>20</v>
      </c>
      <c r="F18" s="742"/>
      <c r="G18" s="123"/>
      <c r="H18" s="122"/>
      <c r="I18" s="123"/>
      <c r="J18" s="579"/>
      <c r="K18" s="122"/>
      <c r="L18" s="122"/>
      <c r="M18" s="126"/>
      <c r="N18" s="126"/>
      <c r="O18" s="126"/>
      <c r="P18" s="126"/>
      <c r="Q18" s="126"/>
    </row>
    <row r="19" spans="1:17" s="32" customFormat="1" ht="22.5" x14ac:dyDescent="0.25">
      <c r="A19" s="750">
        <v>6</v>
      </c>
      <c r="B19" s="750"/>
      <c r="C19" s="883" t="s">
        <v>927</v>
      </c>
      <c r="D19" s="742" t="s">
        <v>16</v>
      </c>
      <c r="E19" s="742">
        <v>90</v>
      </c>
      <c r="F19" s="742"/>
      <c r="G19" s="123"/>
      <c r="H19" s="122"/>
      <c r="I19" s="123"/>
      <c r="J19" s="579"/>
      <c r="K19" s="122"/>
      <c r="L19" s="122"/>
      <c r="M19" s="126"/>
      <c r="N19" s="126"/>
      <c r="O19" s="126"/>
      <c r="P19" s="126"/>
      <c r="Q19" s="126"/>
    </row>
    <row r="20" spans="1:17" s="32" customFormat="1" x14ac:dyDescent="0.25">
      <c r="A20" s="750">
        <v>7</v>
      </c>
      <c r="B20" s="750"/>
      <c r="C20" s="376" t="s">
        <v>639</v>
      </c>
      <c r="D20" s="742" t="s">
        <v>640</v>
      </c>
      <c r="E20" s="742">
        <v>2</v>
      </c>
      <c r="F20" s="742"/>
      <c r="G20" s="123"/>
      <c r="H20" s="122"/>
      <c r="I20" s="123"/>
      <c r="J20" s="579"/>
      <c r="K20" s="122"/>
      <c r="L20" s="122"/>
      <c r="M20" s="126"/>
      <c r="N20" s="126"/>
      <c r="O20" s="126"/>
      <c r="P20" s="126"/>
      <c r="Q20" s="126"/>
    </row>
    <row r="21" spans="1:17" s="32" customFormat="1" x14ac:dyDescent="0.25">
      <c r="A21" s="750">
        <v>8</v>
      </c>
      <c r="B21" s="750"/>
      <c r="C21" s="376" t="s">
        <v>641</v>
      </c>
      <c r="D21" s="742" t="s">
        <v>233</v>
      </c>
      <c r="E21" s="742">
        <v>4</v>
      </c>
      <c r="F21" s="742"/>
      <c r="G21" s="123"/>
      <c r="H21" s="122"/>
      <c r="I21" s="123"/>
      <c r="J21" s="579"/>
      <c r="K21" s="122"/>
      <c r="L21" s="122"/>
      <c r="M21" s="126"/>
      <c r="N21" s="126"/>
      <c r="O21" s="126"/>
      <c r="P21" s="126"/>
      <c r="Q21" s="126"/>
    </row>
    <row r="22" spans="1:17" s="32" customFormat="1" ht="22.5" x14ac:dyDescent="0.25">
      <c r="A22" s="750">
        <v>9</v>
      </c>
      <c r="B22" s="750"/>
      <c r="C22" s="95" t="s">
        <v>642</v>
      </c>
      <c r="D22" s="742" t="s">
        <v>233</v>
      </c>
      <c r="E22" s="742">
        <v>2</v>
      </c>
      <c r="F22" s="742"/>
      <c r="G22" s="123"/>
      <c r="H22" s="122"/>
      <c r="I22" s="123"/>
      <c r="J22" s="579"/>
      <c r="K22" s="122"/>
      <c r="L22" s="122"/>
      <c r="M22" s="126"/>
      <c r="N22" s="126"/>
      <c r="O22" s="126"/>
      <c r="P22" s="126"/>
      <c r="Q22" s="126"/>
    </row>
    <row r="23" spans="1:17" s="32" customFormat="1" ht="22.5" x14ac:dyDescent="0.25">
      <c r="A23" s="750">
        <v>10</v>
      </c>
      <c r="B23" s="750"/>
      <c r="C23" s="95" t="s">
        <v>643</v>
      </c>
      <c r="D23" s="742" t="s">
        <v>233</v>
      </c>
      <c r="E23" s="742">
        <v>2</v>
      </c>
      <c r="F23" s="742"/>
      <c r="G23" s="123"/>
      <c r="H23" s="122"/>
      <c r="I23" s="123"/>
      <c r="J23" s="579"/>
      <c r="K23" s="122"/>
      <c r="L23" s="122"/>
      <c r="M23" s="126"/>
      <c r="N23" s="126"/>
      <c r="O23" s="126"/>
      <c r="P23" s="126"/>
      <c r="Q23" s="126"/>
    </row>
    <row r="24" spans="1:17" s="32" customFormat="1" ht="22.5" x14ac:dyDescent="0.25">
      <c r="A24" s="750">
        <v>11</v>
      </c>
      <c r="B24" s="750"/>
      <c r="C24" s="883" t="s">
        <v>928</v>
      </c>
      <c r="D24" s="742" t="s">
        <v>233</v>
      </c>
      <c r="E24" s="742">
        <v>4</v>
      </c>
      <c r="F24" s="742"/>
      <c r="G24" s="123"/>
      <c r="H24" s="122"/>
      <c r="I24" s="123"/>
      <c r="J24" s="579"/>
      <c r="K24" s="122"/>
      <c r="L24" s="122"/>
      <c r="M24" s="126"/>
      <c r="N24" s="126"/>
      <c r="O24" s="126"/>
      <c r="P24" s="126"/>
      <c r="Q24" s="126"/>
    </row>
    <row r="25" spans="1:17" s="32" customFormat="1" ht="22.5" x14ac:dyDescent="0.25">
      <c r="A25" s="750">
        <v>12</v>
      </c>
      <c r="B25" s="750"/>
      <c r="C25" s="883" t="s">
        <v>929</v>
      </c>
      <c r="D25" s="742" t="s">
        <v>233</v>
      </c>
      <c r="E25" s="742">
        <v>4</v>
      </c>
      <c r="F25" s="742"/>
      <c r="G25" s="123"/>
      <c r="H25" s="122"/>
      <c r="I25" s="123"/>
      <c r="J25" s="579"/>
      <c r="K25" s="122"/>
      <c r="L25" s="122"/>
      <c r="M25" s="126"/>
      <c r="N25" s="126"/>
      <c r="O25" s="126"/>
      <c r="P25" s="126"/>
      <c r="Q25" s="126"/>
    </row>
    <row r="26" spans="1:17" s="32" customFormat="1" ht="22.5" x14ac:dyDescent="0.25">
      <c r="A26" s="750">
        <v>13</v>
      </c>
      <c r="B26" s="750"/>
      <c r="C26" s="883" t="s">
        <v>930</v>
      </c>
      <c r="D26" s="742" t="s">
        <v>233</v>
      </c>
      <c r="E26" s="742">
        <v>8</v>
      </c>
      <c r="F26" s="742"/>
      <c r="G26" s="123"/>
      <c r="H26" s="122"/>
      <c r="I26" s="123"/>
      <c r="J26" s="579"/>
      <c r="K26" s="122"/>
      <c r="L26" s="122"/>
      <c r="M26" s="126"/>
      <c r="N26" s="126"/>
      <c r="O26" s="126"/>
      <c r="P26" s="126"/>
      <c r="Q26" s="126"/>
    </row>
    <row r="27" spans="1:17" s="32" customFormat="1" ht="22.5" x14ac:dyDescent="0.25">
      <c r="A27" s="750">
        <v>14</v>
      </c>
      <c r="B27" s="750"/>
      <c r="C27" s="883" t="s">
        <v>931</v>
      </c>
      <c r="D27" s="742" t="s">
        <v>233</v>
      </c>
      <c r="E27" s="742">
        <v>8</v>
      </c>
      <c r="F27" s="742"/>
      <c r="G27" s="123"/>
      <c r="H27" s="122"/>
      <c r="I27" s="123"/>
      <c r="J27" s="579"/>
      <c r="K27" s="122"/>
      <c r="L27" s="122"/>
      <c r="M27" s="126"/>
      <c r="N27" s="126"/>
      <c r="O27" s="126"/>
      <c r="P27" s="126"/>
      <c r="Q27" s="126"/>
    </row>
    <row r="28" spans="1:17" s="32" customFormat="1" ht="22.5" x14ac:dyDescent="0.25">
      <c r="A28" s="750">
        <v>15</v>
      </c>
      <c r="B28" s="750"/>
      <c r="C28" s="883" t="s">
        <v>932</v>
      </c>
      <c r="D28" s="742" t="s">
        <v>233</v>
      </c>
      <c r="E28" s="742">
        <v>16</v>
      </c>
      <c r="F28" s="742"/>
      <c r="G28" s="123"/>
      <c r="H28" s="122"/>
      <c r="I28" s="123"/>
      <c r="J28" s="579"/>
      <c r="K28" s="122"/>
      <c r="L28" s="122"/>
      <c r="M28" s="126"/>
      <c r="N28" s="126"/>
      <c r="O28" s="126"/>
      <c r="P28" s="126"/>
      <c r="Q28" s="126"/>
    </row>
    <row r="29" spans="1:17" s="32" customFormat="1" ht="22.5" x14ac:dyDescent="0.25">
      <c r="A29" s="750">
        <v>16</v>
      </c>
      <c r="B29" s="750"/>
      <c r="C29" s="883" t="s">
        <v>933</v>
      </c>
      <c r="D29" s="742" t="s">
        <v>233</v>
      </c>
      <c r="E29" s="742">
        <v>64</v>
      </c>
      <c r="F29" s="742"/>
      <c r="G29" s="123"/>
      <c r="H29" s="122"/>
      <c r="I29" s="123"/>
      <c r="J29" s="579"/>
      <c r="K29" s="122"/>
      <c r="L29" s="122"/>
      <c r="M29" s="126"/>
      <c r="N29" s="126"/>
      <c r="O29" s="126"/>
      <c r="P29" s="126"/>
      <c r="Q29" s="126"/>
    </row>
    <row r="30" spans="1:17" s="32" customFormat="1" x14ac:dyDescent="0.25">
      <c r="A30" s="750">
        <v>17</v>
      </c>
      <c r="B30" s="750"/>
      <c r="C30" s="883" t="s">
        <v>934</v>
      </c>
      <c r="D30" s="742" t="s">
        <v>233</v>
      </c>
      <c r="E30" s="742">
        <v>2</v>
      </c>
      <c r="F30" s="742"/>
      <c r="G30" s="123"/>
      <c r="H30" s="122"/>
      <c r="I30" s="123"/>
      <c r="J30" s="579"/>
      <c r="K30" s="122"/>
      <c r="L30" s="122"/>
      <c r="M30" s="126"/>
      <c r="N30" s="126"/>
      <c r="O30" s="126"/>
      <c r="P30" s="126"/>
      <c r="Q30" s="126"/>
    </row>
    <row r="31" spans="1:17" s="32" customFormat="1" x14ac:dyDescent="0.25">
      <c r="A31" s="750">
        <v>18</v>
      </c>
      <c r="B31" s="750"/>
      <c r="C31" s="883" t="s">
        <v>935</v>
      </c>
      <c r="D31" s="742" t="s">
        <v>233</v>
      </c>
      <c r="E31" s="742">
        <v>8</v>
      </c>
      <c r="F31" s="742"/>
      <c r="G31" s="123"/>
      <c r="H31" s="122"/>
      <c r="I31" s="123"/>
      <c r="J31" s="579"/>
      <c r="K31" s="122"/>
      <c r="L31" s="122"/>
      <c r="M31" s="126"/>
      <c r="N31" s="126"/>
      <c r="O31" s="126"/>
      <c r="P31" s="126"/>
      <c r="Q31" s="126"/>
    </row>
    <row r="32" spans="1:17" s="32" customFormat="1" x14ac:dyDescent="0.25">
      <c r="A32" s="750">
        <v>19</v>
      </c>
      <c r="B32" s="750"/>
      <c r="C32" s="883" t="s">
        <v>936</v>
      </c>
      <c r="D32" s="742" t="s">
        <v>233</v>
      </c>
      <c r="E32" s="742">
        <v>16</v>
      </c>
      <c r="F32" s="742"/>
      <c r="G32" s="123"/>
      <c r="H32" s="122"/>
      <c r="I32" s="123"/>
      <c r="J32" s="579"/>
      <c r="K32" s="122"/>
      <c r="L32" s="122"/>
      <c r="M32" s="126"/>
      <c r="N32" s="126"/>
      <c r="O32" s="126"/>
      <c r="P32" s="126"/>
      <c r="Q32" s="126"/>
    </row>
    <row r="33" spans="1:17" s="32" customFormat="1" x14ac:dyDescent="0.25">
      <c r="A33" s="750">
        <v>20</v>
      </c>
      <c r="B33" s="750"/>
      <c r="C33" s="883" t="s">
        <v>937</v>
      </c>
      <c r="D33" s="742" t="s">
        <v>233</v>
      </c>
      <c r="E33" s="742">
        <v>16</v>
      </c>
      <c r="F33" s="742"/>
      <c r="G33" s="123"/>
      <c r="H33" s="122"/>
      <c r="I33" s="123"/>
      <c r="J33" s="579"/>
      <c r="K33" s="122"/>
      <c r="L33" s="122"/>
      <c r="M33" s="126"/>
      <c r="N33" s="126"/>
      <c r="O33" s="126"/>
      <c r="P33" s="126"/>
      <c r="Q33" s="126"/>
    </row>
    <row r="34" spans="1:17" s="32" customFormat="1" ht="22.5" x14ac:dyDescent="0.25">
      <c r="A34" s="750">
        <v>21</v>
      </c>
      <c r="B34" s="750"/>
      <c r="C34" s="883" t="s">
        <v>938</v>
      </c>
      <c r="D34" s="742" t="s">
        <v>233</v>
      </c>
      <c r="E34" s="742">
        <v>4</v>
      </c>
      <c r="F34" s="742"/>
      <c r="G34" s="123"/>
      <c r="H34" s="122"/>
      <c r="I34" s="123"/>
      <c r="J34" s="579"/>
      <c r="K34" s="122"/>
      <c r="L34" s="122"/>
      <c r="M34" s="126"/>
      <c r="N34" s="126"/>
      <c r="O34" s="126"/>
      <c r="P34" s="126"/>
      <c r="Q34" s="126"/>
    </row>
    <row r="35" spans="1:17" s="32" customFormat="1" ht="22.5" x14ac:dyDescent="0.25">
      <c r="A35" s="750">
        <v>22</v>
      </c>
      <c r="B35" s="750"/>
      <c r="C35" s="883" t="s">
        <v>939</v>
      </c>
      <c r="D35" s="742" t="s">
        <v>233</v>
      </c>
      <c r="E35" s="742">
        <v>8</v>
      </c>
      <c r="F35" s="742"/>
      <c r="G35" s="123"/>
      <c r="H35" s="122"/>
      <c r="I35" s="123"/>
      <c r="J35" s="579"/>
      <c r="K35" s="122"/>
      <c r="L35" s="122"/>
      <c r="M35" s="126"/>
      <c r="N35" s="126"/>
      <c r="O35" s="126"/>
      <c r="P35" s="126"/>
      <c r="Q35" s="126"/>
    </row>
    <row r="36" spans="1:17" s="32" customFormat="1" ht="22.5" x14ac:dyDescent="0.25">
      <c r="A36" s="750">
        <v>23</v>
      </c>
      <c r="B36" s="750"/>
      <c r="C36" s="883" t="s">
        <v>940</v>
      </c>
      <c r="D36" s="742" t="s">
        <v>233</v>
      </c>
      <c r="E36" s="742">
        <v>4</v>
      </c>
      <c r="F36" s="742"/>
      <c r="G36" s="123"/>
      <c r="H36" s="122"/>
      <c r="I36" s="123"/>
      <c r="J36" s="579"/>
      <c r="K36" s="122"/>
      <c r="L36" s="122"/>
      <c r="M36" s="126"/>
      <c r="N36" s="126"/>
      <c r="O36" s="126"/>
      <c r="P36" s="126"/>
      <c r="Q36" s="126"/>
    </row>
    <row r="37" spans="1:17" s="32" customFormat="1" ht="22.5" x14ac:dyDescent="0.25">
      <c r="A37" s="750">
        <v>24</v>
      </c>
      <c r="B37" s="750"/>
      <c r="C37" s="883" t="s">
        <v>941</v>
      </c>
      <c r="D37" s="742" t="s">
        <v>233</v>
      </c>
      <c r="E37" s="742">
        <v>4</v>
      </c>
      <c r="F37" s="742"/>
      <c r="G37" s="123"/>
      <c r="H37" s="122"/>
      <c r="I37" s="123"/>
      <c r="J37" s="579"/>
      <c r="K37" s="122"/>
      <c r="L37" s="122"/>
      <c r="M37" s="126"/>
      <c r="N37" s="126"/>
      <c r="O37" s="126"/>
      <c r="P37" s="126"/>
      <c r="Q37" s="126"/>
    </row>
    <row r="38" spans="1:17" s="32" customFormat="1" ht="22.5" x14ac:dyDescent="0.25">
      <c r="A38" s="750">
        <v>25</v>
      </c>
      <c r="B38" s="750"/>
      <c r="C38" s="883" t="s">
        <v>942</v>
      </c>
      <c r="D38" s="742" t="s">
        <v>233</v>
      </c>
      <c r="E38" s="742">
        <v>6</v>
      </c>
      <c r="F38" s="742"/>
      <c r="G38" s="123"/>
      <c r="H38" s="122"/>
      <c r="I38" s="123"/>
      <c r="J38" s="579"/>
      <c r="K38" s="122"/>
      <c r="L38" s="122"/>
      <c r="M38" s="126"/>
      <c r="N38" s="126"/>
      <c r="O38" s="126"/>
      <c r="P38" s="126"/>
      <c r="Q38" s="126"/>
    </row>
    <row r="39" spans="1:17" s="32" customFormat="1" ht="22.5" x14ac:dyDescent="0.25">
      <c r="A39" s="750">
        <v>26</v>
      </c>
      <c r="B39" s="750"/>
      <c r="C39" s="883" t="s">
        <v>943</v>
      </c>
      <c r="D39" s="742" t="s">
        <v>233</v>
      </c>
      <c r="E39" s="742">
        <v>20</v>
      </c>
      <c r="F39" s="742"/>
      <c r="G39" s="123"/>
      <c r="H39" s="122"/>
      <c r="I39" s="123"/>
      <c r="J39" s="579"/>
      <c r="K39" s="122"/>
      <c r="L39" s="122"/>
      <c r="M39" s="126"/>
      <c r="N39" s="126"/>
      <c r="O39" s="126"/>
      <c r="P39" s="126"/>
      <c r="Q39" s="126"/>
    </row>
    <row r="40" spans="1:17" s="32" customFormat="1" ht="22.5" x14ac:dyDescent="0.25">
      <c r="A40" s="750">
        <v>27</v>
      </c>
      <c r="B40" s="750"/>
      <c r="C40" s="883" t="s">
        <v>944</v>
      </c>
      <c r="D40" s="742" t="s">
        <v>233</v>
      </c>
      <c r="E40" s="742">
        <v>30</v>
      </c>
      <c r="F40" s="742"/>
      <c r="G40" s="123"/>
      <c r="H40" s="122"/>
      <c r="I40" s="123"/>
      <c r="J40" s="579"/>
      <c r="K40" s="122"/>
      <c r="L40" s="122"/>
      <c r="M40" s="126"/>
      <c r="N40" s="126"/>
      <c r="O40" s="126"/>
      <c r="P40" s="126"/>
      <c r="Q40" s="126"/>
    </row>
    <row r="41" spans="1:17" s="32" customFormat="1" x14ac:dyDescent="0.25">
      <c r="A41" s="750">
        <v>28</v>
      </c>
      <c r="B41" s="750"/>
      <c r="C41" s="95" t="s">
        <v>644</v>
      </c>
      <c r="D41" s="742" t="s">
        <v>233</v>
      </c>
      <c r="E41" s="742">
        <v>4</v>
      </c>
      <c r="F41" s="742"/>
      <c r="G41" s="123"/>
      <c r="H41" s="122"/>
      <c r="I41" s="123"/>
      <c r="J41" s="579"/>
      <c r="K41" s="122"/>
      <c r="L41" s="122"/>
      <c r="M41" s="126"/>
      <c r="N41" s="126"/>
      <c r="O41" s="126"/>
      <c r="P41" s="126"/>
      <c r="Q41" s="126"/>
    </row>
    <row r="42" spans="1:17" s="32" customFormat="1" ht="33.75" x14ac:dyDescent="0.25">
      <c r="A42" s="750">
        <v>29</v>
      </c>
      <c r="B42" s="750"/>
      <c r="C42" s="95" t="s">
        <v>645</v>
      </c>
      <c r="D42" s="742" t="s">
        <v>233</v>
      </c>
      <c r="E42" s="742">
        <v>4</v>
      </c>
      <c r="F42" s="742"/>
      <c r="G42" s="123"/>
      <c r="H42" s="122"/>
      <c r="I42" s="123"/>
      <c r="J42" s="579"/>
      <c r="K42" s="122"/>
      <c r="L42" s="122"/>
      <c r="M42" s="126"/>
      <c r="N42" s="126"/>
      <c r="O42" s="126"/>
      <c r="P42" s="126"/>
      <c r="Q42" s="126"/>
    </row>
    <row r="43" spans="1:17" s="32" customFormat="1" ht="33.75" x14ac:dyDescent="0.25">
      <c r="A43" s="750">
        <v>30</v>
      </c>
      <c r="B43" s="750"/>
      <c r="C43" s="95" t="s">
        <v>646</v>
      </c>
      <c r="D43" s="742" t="s">
        <v>233</v>
      </c>
      <c r="E43" s="742">
        <v>10</v>
      </c>
      <c r="F43" s="742"/>
      <c r="G43" s="123"/>
      <c r="H43" s="122"/>
      <c r="I43" s="123"/>
      <c r="J43" s="579"/>
      <c r="K43" s="122"/>
      <c r="L43" s="122"/>
      <c r="M43" s="126"/>
      <c r="N43" s="126"/>
      <c r="O43" s="126"/>
      <c r="P43" s="126"/>
      <c r="Q43" s="126"/>
    </row>
    <row r="44" spans="1:17" s="32" customFormat="1" ht="33.75" x14ac:dyDescent="0.25">
      <c r="A44" s="750">
        <v>31</v>
      </c>
      <c r="B44" s="750"/>
      <c r="C44" s="95" t="s">
        <v>647</v>
      </c>
      <c r="D44" s="742" t="s">
        <v>233</v>
      </c>
      <c r="E44" s="742">
        <v>8</v>
      </c>
      <c r="F44" s="742"/>
      <c r="G44" s="123"/>
      <c r="H44" s="122"/>
      <c r="I44" s="123"/>
      <c r="J44" s="579"/>
      <c r="K44" s="122"/>
      <c r="L44" s="122"/>
      <c r="M44" s="126"/>
      <c r="N44" s="126"/>
      <c r="O44" s="126"/>
      <c r="P44" s="126"/>
      <c r="Q44" s="126"/>
    </row>
    <row r="45" spans="1:17" s="32" customFormat="1" ht="33.75" x14ac:dyDescent="0.25">
      <c r="A45" s="750">
        <v>32</v>
      </c>
      <c r="B45" s="750"/>
      <c r="C45" s="95" t="s">
        <v>648</v>
      </c>
      <c r="D45" s="742" t="s">
        <v>233</v>
      </c>
      <c r="E45" s="742">
        <v>16</v>
      </c>
      <c r="F45" s="742"/>
      <c r="G45" s="123"/>
      <c r="H45" s="122"/>
      <c r="I45" s="123"/>
      <c r="J45" s="579"/>
      <c r="K45" s="122"/>
      <c r="L45" s="122"/>
      <c r="M45" s="126"/>
      <c r="N45" s="126"/>
      <c r="O45" s="126"/>
      <c r="P45" s="126"/>
      <c r="Q45" s="126"/>
    </row>
    <row r="46" spans="1:17" s="32" customFormat="1" ht="33.75" x14ac:dyDescent="0.25">
      <c r="A46" s="750">
        <v>33</v>
      </c>
      <c r="B46" s="750"/>
      <c r="C46" s="95" t="s">
        <v>649</v>
      </c>
      <c r="D46" s="742" t="s">
        <v>233</v>
      </c>
      <c r="E46" s="742">
        <v>4</v>
      </c>
      <c r="F46" s="742"/>
      <c r="G46" s="123"/>
      <c r="H46" s="122"/>
      <c r="I46" s="123"/>
      <c r="J46" s="579"/>
      <c r="K46" s="122"/>
      <c r="L46" s="122"/>
      <c r="M46" s="126"/>
      <c r="N46" s="126"/>
      <c r="O46" s="126"/>
      <c r="P46" s="126"/>
      <c r="Q46" s="126"/>
    </row>
    <row r="47" spans="1:17" s="32" customFormat="1" ht="33.75" x14ac:dyDescent="0.25">
      <c r="A47" s="750">
        <v>34</v>
      </c>
      <c r="B47" s="750"/>
      <c r="C47" s="95" t="s">
        <v>650</v>
      </c>
      <c r="D47" s="742" t="s">
        <v>233</v>
      </c>
      <c r="E47" s="742">
        <v>56</v>
      </c>
      <c r="F47" s="742"/>
      <c r="G47" s="123"/>
      <c r="H47" s="122"/>
      <c r="I47" s="123"/>
      <c r="J47" s="579"/>
      <c r="K47" s="122"/>
      <c r="L47" s="122"/>
      <c r="M47" s="126"/>
      <c r="N47" s="126"/>
      <c r="O47" s="126"/>
      <c r="P47" s="126"/>
      <c r="Q47" s="126"/>
    </row>
    <row r="48" spans="1:17" s="32" customFormat="1" ht="22.5" x14ac:dyDescent="0.25">
      <c r="A48" s="750">
        <v>35</v>
      </c>
      <c r="B48" s="750"/>
      <c r="C48" s="95" t="s">
        <v>651</v>
      </c>
      <c r="D48" s="742" t="s">
        <v>16</v>
      </c>
      <c r="E48" s="742">
        <f t="shared" ref="E48:E53" si="1">E14</f>
        <v>20</v>
      </c>
      <c r="F48" s="742"/>
      <c r="G48" s="123"/>
      <c r="H48" s="122"/>
      <c r="I48" s="123"/>
      <c r="J48" s="579"/>
      <c r="K48" s="122"/>
      <c r="L48" s="122"/>
      <c r="M48" s="126"/>
      <c r="N48" s="126"/>
      <c r="O48" s="126"/>
      <c r="P48" s="126"/>
      <c r="Q48" s="126"/>
    </row>
    <row r="49" spans="1:17" s="32" customFormat="1" ht="22.5" x14ac:dyDescent="0.25">
      <c r="A49" s="750">
        <v>36</v>
      </c>
      <c r="B49" s="750"/>
      <c r="C49" s="95" t="s">
        <v>652</v>
      </c>
      <c r="D49" s="742" t="s">
        <v>16</v>
      </c>
      <c r="E49" s="742">
        <f t="shared" si="1"/>
        <v>50</v>
      </c>
      <c r="F49" s="742"/>
      <c r="G49" s="123"/>
      <c r="H49" s="122"/>
      <c r="I49" s="123"/>
      <c r="J49" s="579"/>
      <c r="K49" s="122"/>
      <c r="L49" s="122"/>
      <c r="M49" s="126"/>
      <c r="N49" s="126"/>
      <c r="O49" s="126"/>
      <c r="P49" s="126"/>
      <c r="Q49" s="126"/>
    </row>
    <row r="50" spans="1:17" s="32" customFormat="1" ht="22.5" x14ac:dyDescent="0.25">
      <c r="A50" s="750">
        <v>37</v>
      </c>
      <c r="B50" s="750"/>
      <c r="C50" s="95" t="s">
        <v>653</v>
      </c>
      <c r="D50" s="742" t="s">
        <v>16</v>
      </c>
      <c r="E50" s="742">
        <f t="shared" si="1"/>
        <v>25</v>
      </c>
      <c r="F50" s="742"/>
      <c r="G50" s="123"/>
      <c r="H50" s="122"/>
      <c r="I50" s="123"/>
      <c r="J50" s="579"/>
      <c r="K50" s="122"/>
      <c r="L50" s="122"/>
      <c r="M50" s="126"/>
      <c r="N50" s="126"/>
      <c r="O50" s="126"/>
      <c r="P50" s="126"/>
      <c r="Q50" s="126"/>
    </row>
    <row r="51" spans="1:17" s="32" customFormat="1" ht="22.5" x14ac:dyDescent="0.25">
      <c r="A51" s="750">
        <v>38</v>
      </c>
      <c r="B51" s="750"/>
      <c r="C51" s="95" t="s">
        <v>654</v>
      </c>
      <c r="D51" s="742" t="s">
        <v>16</v>
      </c>
      <c r="E51" s="742">
        <f t="shared" si="1"/>
        <v>20</v>
      </c>
      <c r="F51" s="742"/>
      <c r="G51" s="123"/>
      <c r="H51" s="122"/>
      <c r="I51" s="123"/>
      <c r="J51" s="579"/>
      <c r="K51" s="122"/>
      <c r="L51" s="122"/>
      <c r="M51" s="126"/>
      <c r="N51" s="126"/>
      <c r="O51" s="126"/>
      <c r="P51" s="126"/>
      <c r="Q51" s="126"/>
    </row>
    <row r="52" spans="1:17" s="32" customFormat="1" ht="22.5" x14ac:dyDescent="0.25">
      <c r="A52" s="750">
        <v>39</v>
      </c>
      <c r="B52" s="750"/>
      <c r="C52" s="95" t="s">
        <v>655</v>
      </c>
      <c r="D52" s="742" t="s">
        <v>16</v>
      </c>
      <c r="E52" s="742">
        <f t="shared" si="1"/>
        <v>20</v>
      </c>
      <c r="F52" s="742"/>
      <c r="G52" s="123"/>
      <c r="H52" s="122"/>
      <c r="I52" s="123"/>
      <c r="J52" s="579"/>
      <c r="K52" s="122"/>
      <c r="L52" s="122"/>
      <c r="M52" s="126"/>
      <c r="N52" s="126"/>
      <c r="O52" s="126"/>
      <c r="P52" s="126"/>
      <c r="Q52" s="126"/>
    </row>
    <row r="53" spans="1:17" s="32" customFormat="1" ht="22.5" x14ac:dyDescent="0.25">
      <c r="A53" s="750">
        <v>40</v>
      </c>
      <c r="B53" s="750"/>
      <c r="C53" s="95" t="s">
        <v>656</v>
      </c>
      <c r="D53" s="742" t="s">
        <v>16</v>
      </c>
      <c r="E53" s="742">
        <f t="shared" si="1"/>
        <v>90</v>
      </c>
      <c r="F53" s="742"/>
      <c r="G53" s="123"/>
      <c r="H53" s="122"/>
      <c r="I53" s="123"/>
      <c r="J53" s="579"/>
      <c r="K53" s="122"/>
      <c r="L53" s="122"/>
      <c r="M53" s="126"/>
      <c r="N53" s="126"/>
      <c r="O53" s="126"/>
      <c r="P53" s="126"/>
      <c r="Q53" s="126"/>
    </row>
    <row r="54" spans="1:17" s="32" customFormat="1" x14ac:dyDescent="0.25">
      <c r="A54" s="750">
        <v>41</v>
      </c>
      <c r="B54" s="750"/>
      <c r="C54" s="95" t="s">
        <v>657</v>
      </c>
      <c r="D54" s="742" t="s">
        <v>23</v>
      </c>
      <c r="E54" s="742">
        <v>25</v>
      </c>
      <c r="F54" s="742"/>
      <c r="G54" s="123"/>
      <c r="H54" s="122"/>
      <c r="I54" s="123"/>
      <c r="J54" s="579"/>
      <c r="K54" s="122"/>
      <c r="L54" s="122"/>
      <c r="M54" s="126"/>
      <c r="N54" s="126"/>
      <c r="O54" s="126"/>
      <c r="P54" s="126"/>
      <c r="Q54" s="126"/>
    </row>
    <row r="55" spans="1:17" s="32" customFormat="1" x14ac:dyDescent="0.25">
      <c r="A55" s="750">
        <v>42</v>
      </c>
      <c r="B55" s="750"/>
      <c r="C55" s="95" t="s">
        <v>238</v>
      </c>
      <c r="D55" s="742" t="s">
        <v>68</v>
      </c>
      <c r="E55" s="742">
        <v>2</v>
      </c>
      <c r="F55" s="742"/>
      <c r="G55" s="123"/>
      <c r="H55" s="122"/>
      <c r="I55" s="123"/>
      <c r="J55" s="579"/>
      <c r="K55" s="122"/>
      <c r="L55" s="122"/>
      <c r="M55" s="126"/>
      <c r="N55" s="126"/>
      <c r="O55" s="126"/>
      <c r="P55" s="126"/>
      <c r="Q55" s="126"/>
    </row>
    <row r="56" spans="1:17" s="32" customFormat="1" x14ac:dyDescent="0.25">
      <c r="A56" s="750">
        <v>43</v>
      </c>
      <c r="B56" s="750"/>
      <c r="C56" s="95" t="s">
        <v>658</v>
      </c>
      <c r="D56" s="742" t="s">
        <v>68</v>
      </c>
      <c r="E56" s="742">
        <v>2</v>
      </c>
      <c r="F56" s="742"/>
      <c r="G56" s="61"/>
      <c r="H56" s="122"/>
      <c r="I56" s="61"/>
      <c r="J56" s="580"/>
      <c r="K56" s="122"/>
      <c r="L56" s="122"/>
      <c r="M56" s="126"/>
      <c r="N56" s="126"/>
      <c r="O56" s="126"/>
      <c r="P56" s="126"/>
      <c r="Q56" s="126"/>
    </row>
    <row r="57" spans="1:17" s="32" customFormat="1" ht="22.5" x14ac:dyDescent="0.25">
      <c r="A57" s="750">
        <v>44</v>
      </c>
      <c r="B57" s="750"/>
      <c r="C57" s="95" t="s">
        <v>659</v>
      </c>
      <c r="D57" s="742" t="s">
        <v>17</v>
      </c>
      <c r="E57" s="742">
        <v>16</v>
      </c>
      <c r="F57" s="742"/>
      <c r="G57" s="61"/>
      <c r="H57" s="122"/>
      <c r="I57" s="61"/>
      <c r="J57" s="580"/>
      <c r="K57" s="122"/>
      <c r="L57" s="122"/>
      <c r="M57" s="126"/>
      <c r="N57" s="126"/>
      <c r="O57" s="126"/>
      <c r="P57" s="126"/>
      <c r="Q57" s="126"/>
    </row>
    <row r="58" spans="1:17" s="32" customFormat="1" x14ac:dyDescent="0.25">
      <c r="A58" s="563"/>
      <c r="B58" s="563"/>
      <c r="C58" s="234" t="s">
        <v>660</v>
      </c>
      <c r="D58" s="563"/>
      <c r="E58" s="563"/>
      <c r="F58" s="563"/>
      <c r="G58" s="33"/>
      <c r="H58" s="122"/>
      <c r="I58" s="33"/>
      <c r="J58" s="581"/>
      <c r="K58" s="33"/>
      <c r="L58" s="33"/>
      <c r="M58" s="33"/>
      <c r="N58" s="33"/>
      <c r="O58" s="33"/>
      <c r="P58" s="33"/>
      <c r="Q58" s="33"/>
    </row>
    <row r="59" spans="1:17" s="32" customFormat="1" ht="22.5" x14ac:dyDescent="0.25">
      <c r="A59" s="750">
        <v>1</v>
      </c>
      <c r="B59" s="750"/>
      <c r="C59" s="883" t="s">
        <v>945</v>
      </c>
      <c r="D59" s="742" t="s">
        <v>16</v>
      </c>
      <c r="E59" s="742">
        <v>40</v>
      </c>
      <c r="F59" s="742"/>
      <c r="G59" s="128"/>
      <c r="H59" s="122"/>
      <c r="I59" s="128"/>
      <c r="J59" s="238"/>
      <c r="K59" s="122"/>
      <c r="L59" s="122"/>
      <c r="M59" s="126"/>
      <c r="N59" s="126"/>
      <c r="O59" s="126"/>
      <c r="P59" s="126"/>
      <c r="Q59" s="126"/>
    </row>
    <row r="60" spans="1:17" s="32" customFormat="1" ht="22.5" x14ac:dyDescent="0.25">
      <c r="A60" s="750">
        <v>2</v>
      </c>
      <c r="B60" s="750"/>
      <c r="C60" s="883" t="s">
        <v>946</v>
      </c>
      <c r="D60" s="742" t="s">
        <v>16</v>
      </c>
      <c r="E60" s="742">
        <v>60</v>
      </c>
      <c r="F60" s="742"/>
      <c r="G60" s="128"/>
      <c r="H60" s="122"/>
      <c r="I60" s="128"/>
      <c r="J60" s="238"/>
      <c r="K60" s="122"/>
      <c r="L60" s="122"/>
      <c r="M60" s="126"/>
      <c r="N60" s="126"/>
      <c r="O60" s="126"/>
      <c r="P60" s="126"/>
      <c r="Q60" s="126"/>
    </row>
    <row r="61" spans="1:17" s="32" customFormat="1" ht="22.5" x14ac:dyDescent="0.25">
      <c r="A61" s="750">
        <v>3</v>
      </c>
      <c r="B61" s="750"/>
      <c r="C61" s="883" t="s">
        <v>947</v>
      </c>
      <c r="D61" s="742" t="s">
        <v>16</v>
      </c>
      <c r="E61" s="742">
        <v>150</v>
      </c>
      <c r="F61" s="742"/>
      <c r="G61" s="123"/>
      <c r="H61" s="122"/>
      <c r="I61" s="123"/>
      <c r="J61" s="124"/>
      <c r="K61" s="122"/>
      <c r="L61" s="122"/>
      <c r="M61" s="126"/>
      <c r="N61" s="126"/>
      <c r="O61" s="126"/>
      <c r="P61" s="126"/>
      <c r="Q61" s="126"/>
    </row>
    <row r="62" spans="1:17" s="32" customFormat="1" ht="22.5" x14ac:dyDescent="0.25">
      <c r="A62" s="750">
        <v>4</v>
      </c>
      <c r="B62" s="750"/>
      <c r="C62" s="883" t="s">
        <v>948</v>
      </c>
      <c r="D62" s="742" t="s">
        <v>16</v>
      </c>
      <c r="E62" s="742">
        <v>50</v>
      </c>
      <c r="F62" s="742"/>
      <c r="G62" s="123"/>
      <c r="H62" s="122"/>
      <c r="I62" s="123"/>
      <c r="J62" s="124"/>
      <c r="K62" s="122"/>
      <c r="L62" s="122"/>
      <c r="M62" s="126"/>
      <c r="N62" s="126"/>
      <c r="O62" s="126"/>
      <c r="P62" s="126"/>
      <c r="Q62" s="126"/>
    </row>
    <row r="63" spans="1:17" s="32" customFormat="1" ht="22.5" x14ac:dyDescent="0.25">
      <c r="A63" s="750">
        <v>5</v>
      </c>
      <c r="B63" s="750"/>
      <c r="C63" s="883" t="s">
        <v>949</v>
      </c>
      <c r="D63" s="742" t="s">
        <v>16</v>
      </c>
      <c r="E63" s="742">
        <v>40</v>
      </c>
      <c r="F63" s="742"/>
      <c r="G63" s="123"/>
      <c r="H63" s="122"/>
      <c r="I63" s="123"/>
      <c r="J63" s="124"/>
      <c r="K63" s="122"/>
      <c r="L63" s="122"/>
      <c r="M63" s="126"/>
      <c r="N63" s="126"/>
      <c r="O63" s="126"/>
      <c r="P63" s="126"/>
      <c r="Q63" s="126"/>
    </row>
    <row r="64" spans="1:17" s="32" customFormat="1" ht="22.5" x14ac:dyDescent="0.25">
      <c r="A64" s="750">
        <v>6</v>
      </c>
      <c r="B64" s="750"/>
      <c r="C64" s="883" t="s">
        <v>950</v>
      </c>
      <c r="D64" s="742" t="s">
        <v>16</v>
      </c>
      <c r="E64" s="742">
        <v>25</v>
      </c>
      <c r="F64" s="742"/>
      <c r="G64" s="123"/>
      <c r="H64" s="122"/>
      <c r="I64" s="123"/>
      <c r="J64" s="124"/>
      <c r="K64" s="122"/>
      <c r="L64" s="122"/>
      <c r="M64" s="126"/>
      <c r="N64" s="126"/>
      <c r="O64" s="126"/>
      <c r="P64" s="126"/>
      <c r="Q64" s="126"/>
    </row>
    <row r="65" spans="1:17" s="32" customFormat="1" ht="22.5" x14ac:dyDescent="0.25">
      <c r="A65" s="750">
        <v>7</v>
      </c>
      <c r="B65" s="750"/>
      <c r="C65" s="883" t="s">
        <v>951</v>
      </c>
      <c r="D65" s="742" t="s">
        <v>16</v>
      </c>
      <c r="E65" s="742">
        <v>160</v>
      </c>
      <c r="F65" s="742"/>
      <c r="G65" s="123"/>
      <c r="H65" s="122"/>
      <c r="I65" s="123"/>
      <c r="J65" s="124"/>
      <c r="K65" s="122"/>
      <c r="L65" s="122"/>
      <c r="M65" s="126"/>
      <c r="N65" s="126"/>
      <c r="O65" s="126"/>
      <c r="P65" s="126"/>
      <c r="Q65" s="126"/>
    </row>
    <row r="66" spans="1:17" s="32" customFormat="1" x14ac:dyDescent="0.25">
      <c r="A66" s="750">
        <v>8</v>
      </c>
      <c r="B66" s="750"/>
      <c r="C66" s="376" t="s">
        <v>661</v>
      </c>
      <c r="D66" s="742" t="s">
        <v>640</v>
      </c>
      <c r="E66" s="742">
        <v>2</v>
      </c>
      <c r="F66" s="742"/>
      <c r="G66" s="123"/>
      <c r="H66" s="122"/>
      <c r="I66" s="123"/>
      <c r="J66" s="124"/>
      <c r="K66" s="122"/>
      <c r="L66" s="122"/>
      <c r="M66" s="126"/>
      <c r="N66" s="126"/>
      <c r="O66" s="126"/>
      <c r="P66" s="126"/>
      <c r="Q66" s="126"/>
    </row>
    <row r="67" spans="1:17" s="32" customFormat="1" x14ac:dyDescent="0.25">
      <c r="A67" s="750">
        <v>9</v>
      </c>
      <c r="B67" s="750"/>
      <c r="C67" s="376" t="s">
        <v>662</v>
      </c>
      <c r="D67" s="742" t="s">
        <v>233</v>
      </c>
      <c r="E67" s="742">
        <v>10</v>
      </c>
      <c r="F67" s="742"/>
      <c r="G67" s="123"/>
      <c r="H67" s="122"/>
      <c r="I67" s="123"/>
      <c r="J67" s="124"/>
      <c r="K67" s="122"/>
      <c r="L67" s="122"/>
      <c r="M67" s="126"/>
      <c r="N67" s="126"/>
      <c r="O67" s="126"/>
      <c r="P67" s="126"/>
      <c r="Q67" s="126"/>
    </row>
    <row r="68" spans="1:17" s="32" customFormat="1" ht="22.5" x14ac:dyDescent="0.25">
      <c r="A68" s="750">
        <v>10</v>
      </c>
      <c r="B68" s="750"/>
      <c r="C68" s="95" t="s">
        <v>905</v>
      </c>
      <c r="D68" s="742" t="s">
        <v>233</v>
      </c>
      <c r="E68" s="742">
        <v>4</v>
      </c>
      <c r="F68" s="742"/>
      <c r="G68" s="123"/>
      <c r="H68" s="122"/>
      <c r="I68" s="123"/>
      <c r="J68" s="124"/>
      <c r="K68" s="122"/>
      <c r="L68" s="122"/>
      <c r="M68" s="126"/>
      <c r="N68" s="126"/>
      <c r="O68" s="126"/>
      <c r="P68" s="126"/>
      <c r="Q68" s="126"/>
    </row>
    <row r="69" spans="1:17" s="32" customFormat="1" ht="33.75" x14ac:dyDescent="0.25">
      <c r="A69" s="750">
        <v>11</v>
      </c>
      <c r="B69" s="750"/>
      <c r="C69" s="95" t="s">
        <v>906</v>
      </c>
      <c r="D69" s="742" t="s">
        <v>233</v>
      </c>
      <c r="E69" s="742">
        <v>4</v>
      </c>
      <c r="F69" s="742"/>
      <c r="G69" s="123"/>
      <c r="H69" s="122"/>
      <c r="I69" s="123"/>
      <c r="J69" s="124"/>
      <c r="K69" s="122"/>
      <c r="L69" s="122"/>
      <c r="M69" s="126"/>
      <c r="N69" s="126"/>
      <c r="O69" s="126"/>
      <c r="P69" s="126"/>
      <c r="Q69" s="126"/>
    </row>
    <row r="70" spans="1:17" s="32" customFormat="1" ht="22.5" x14ac:dyDescent="0.25">
      <c r="A70" s="750">
        <v>12</v>
      </c>
      <c r="B70" s="750"/>
      <c r="C70" s="883" t="s">
        <v>952</v>
      </c>
      <c r="D70" s="742" t="s">
        <v>233</v>
      </c>
      <c r="E70" s="742">
        <v>4</v>
      </c>
      <c r="F70" s="742"/>
      <c r="G70" s="123"/>
      <c r="H70" s="122"/>
      <c r="I70" s="123"/>
      <c r="J70" s="124"/>
      <c r="K70" s="122"/>
      <c r="L70" s="122"/>
      <c r="M70" s="126"/>
      <c r="N70" s="126"/>
      <c r="O70" s="126"/>
      <c r="P70" s="126"/>
      <c r="Q70" s="126"/>
    </row>
    <row r="71" spans="1:17" s="32" customFormat="1" ht="22.5" x14ac:dyDescent="0.25">
      <c r="A71" s="750">
        <v>13</v>
      </c>
      <c r="B71" s="750"/>
      <c r="C71" s="883" t="s">
        <v>953</v>
      </c>
      <c r="D71" s="742" t="s">
        <v>233</v>
      </c>
      <c r="E71" s="742">
        <v>2</v>
      </c>
      <c r="F71" s="742"/>
      <c r="G71" s="123"/>
      <c r="H71" s="122"/>
      <c r="I71" s="123"/>
      <c r="J71" s="124"/>
      <c r="K71" s="122"/>
      <c r="L71" s="122"/>
      <c r="M71" s="126"/>
      <c r="N71" s="126"/>
      <c r="O71" s="126"/>
      <c r="P71" s="126"/>
      <c r="Q71" s="126"/>
    </row>
    <row r="72" spans="1:17" s="32" customFormat="1" ht="22.5" x14ac:dyDescent="0.25">
      <c r="A72" s="750">
        <v>14</v>
      </c>
      <c r="B72" s="750"/>
      <c r="C72" s="883" t="s">
        <v>928</v>
      </c>
      <c r="D72" s="742" t="s">
        <v>233</v>
      </c>
      <c r="E72" s="742">
        <v>8</v>
      </c>
      <c r="F72" s="742"/>
      <c r="G72" s="123"/>
      <c r="H72" s="122"/>
      <c r="I72" s="123"/>
      <c r="J72" s="124"/>
      <c r="K72" s="122"/>
      <c r="L72" s="122"/>
      <c r="M72" s="126"/>
      <c r="N72" s="126"/>
      <c r="O72" s="126"/>
      <c r="P72" s="126"/>
      <c r="Q72" s="126"/>
    </row>
    <row r="73" spans="1:17" s="32" customFormat="1" ht="22.5" x14ac:dyDescent="0.25">
      <c r="A73" s="750">
        <v>15</v>
      </c>
      <c r="B73" s="750"/>
      <c r="C73" s="883" t="s">
        <v>929</v>
      </c>
      <c r="D73" s="742" t="s">
        <v>233</v>
      </c>
      <c r="E73" s="742">
        <v>10</v>
      </c>
      <c r="F73" s="742"/>
      <c r="G73" s="123"/>
      <c r="H73" s="122"/>
      <c r="I73" s="123"/>
      <c r="J73" s="124"/>
      <c r="K73" s="122"/>
      <c r="L73" s="122"/>
      <c r="M73" s="126"/>
      <c r="N73" s="126"/>
      <c r="O73" s="126"/>
      <c r="P73" s="126"/>
      <c r="Q73" s="126"/>
    </row>
    <row r="74" spans="1:17" s="32" customFormat="1" ht="22.5" x14ac:dyDescent="0.25">
      <c r="A74" s="750">
        <v>16</v>
      </c>
      <c r="B74" s="750"/>
      <c r="C74" s="883" t="s">
        <v>930</v>
      </c>
      <c r="D74" s="742" t="s">
        <v>233</v>
      </c>
      <c r="E74" s="742">
        <v>10</v>
      </c>
      <c r="F74" s="742"/>
      <c r="G74" s="123"/>
      <c r="H74" s="122"/>
      <c r="I74" s="123"/>
      <c r="J74" s="124"/>
      <c r="K74" s="122"/>
      <c r="L74" s="122"/>
      <c r="M74" s="126"/>
      <c r="N74" s="126"/>
      <c r="O74" s="126"/>
      <c r="P74" s="126"/>
      <c r="Q74" s="126"/>
    </row>
    <row r="75" spans="1:17" s="32" customFormat="1" ht="22.5" x14ac:dyDescent="0.25">
      <c r="A75" s="750">
        <v>17</v>
      </c>
      <c r="B75" s="750"/>
      <c r="C75" s="883" t="s">
        <v>931</v>
      </c>
      <c r="D75" s="742" t="s">
        <v>233</v>
      </c>
      <c r="E75" s="742">
        <v>48</v>
      </c>
      <c r="F75" s="742"/>
      <c r="G75" s="123"/>
      <c r="H75" s="122"/>
      <c r="I75" s="123"/>
      <c r="J75" s="124"/>
      <c r="K75" s="122"/>
      <c r="L75" s="122"/>
      <c r="M75" s="126"/>
      <c r="N75" s="126"/>
      <c r="O75" s="126"/>
      <c r="P75" s="126"/>
      <c r="Q75" s="126"/>
    </row>
    <row r="76" spans="1:17" s="32" customFormat="1" ht="22.5" x14ac:dyDescent="0.25">
      <c r="A76" s="750">
        <v>18</v>
      </c>
      <c r="B76" s="750"/>
      <c r="C76" s="883" t="s">
        <v>932</v>
      </c>
      <c r="D76" s="742" t="s">
        <v>233</v>
      </c>
      <c r="E76" s="742">
        <v>52</v>
      </c>
      <c r="F76" s="742"/>
      <c r="G76" s="123"/>
      <c r="H76" s="122"/>
      <c r="I76" s="123"/>
      <c r="J76" s="124"/>
      <c r="K76" s="122"/>
      <c r="L76" s="122"/>
      <c r="M76" s="126"/>
      <c r="N76" s="126"/>
      <c r="O76" s="126"/>
      <c r="P76" s="126"/>
      <c r="Q76" s="126"/>
    </row>
    <row r="77" spans="1:17" s="32" customFormat="1" ht="22.5" x14ac:dyDescent="0.25">
      <c r="A77" s="750">
        <v>19</v>
      </c>
      <c r="B77" s="750"/>
      <c r="C77" s="883" t="s">
        <v>933</v>
      </c>
      <c r="D77" s="742" t="s">
        <v>233</v>
      </c>
      <c r="E77" s="742">
        <v>122</v>
      </c>
      <c r="F77" s="742"/>
      <c r="G77" s="123"/>
      <c r="H77" s="122"/>
      <c r="I77" s="123"/>
      <c r="J77" s="124"/>
      <c r="K77" s="122"/>
      <c r="L77" s="122"/>
      <c r="M77" s="126"/>
      <c r="N77" s="126"/>
      <c r="O77" s="126"/>
      <c r="P77" s="126"/>
      <c r="Q77" s="126"/>
    </row>
    <row r="78" spans="1:17" s="32" customFormat="1" x14ac:dyDescent="0.25">
      <c r="A78" s="750">
        <v>20</v>
      </c>
      <c r="B78" s="750"/>
      <c r="C78" s="883" t="s">
        <v>954</v>
      </c>
      <c r="D78" s="742" t="s">
        <v>233</v>
      </c>
      <c r="E78" s="742">
        <v>6</v>
      </c>
      <c r="F78" s="742"/>
      <c r="G78" s="123"/>
      <c r="H78" s="122"/>
      <c r="I78" s="123"/>
      <c r="J78" s="124"/>
      <c r="K78" s="122"/>
      <c r="L78" s="122"/>
      <c r="M78" s="126"/>
      <c r="N78" s="126"/>
      <c r="O78" s="126"/>
      <c r="P78" s="126"/>
      <c r="Q78" s="126"/>
    </row>
    <row r="79" spans="1:17" s="32" customFormat="1" x14ac:dyDescent="0.25">
      <c r="A79" s="750">
        <v>21</v>
      </c>
      <c r="B79" s="750"/>
      <c r="C79" s="883" t="s">
        <v>934</v>
      </c>
      <c r="D79" s="742" t="s">
        <v>233</v>
      </c>
      <c r="E79" s="742">
        <v>4</v>
      </c>
      <c r="F79" s="742"/>
      <c r="G79" s="123"/>
      <c r="H79" s="122"/>
      <c r="I79" s="123"/>
      <c r="J79" s="124"/>
      <c r="K79" s="122"/>
      <c r="L79" s="122"/>
      <c r="M79" s="126"/>
      <c r="N79" s="126"/>
      <c r="O79" s="126"/>
      <c r="P79" s="126"/>
      <c r="Q79" s="126"/>
    </row>
    <row r="80" spans="1:17" s="32" customFormat="1" x14ac:dyDescent="0.25">
      <c r="A80" s="750">
        <v>22</v>
      </c>
      <c r="B80" s="750"/>
      <c r="C80" s="883" t="s">
        <v>935</v>
      </c>
      <c r="D80" s="742" t="s">
        <v>233</v>
      </c>
      <c r="E80" s="742">
        <v>8</v>
      </c>
      <c r="F80" s="742"/>
      <c r="G80" s="123"/>
      <c r="H80" s="122"/>
      <c r="I80" s="123"/>
      <c r="J80" s="124"/>
      <c r="K80" s="122"/>
      <c r="L80" s="122"/>
      <c r="M80" s="126"/>
      <c r="N80" s="126"/>
      <c r="O80" s="126"/>
      <c r="P80" s="126"/>
      <c r="Q80" s="126"/>
    </row>
    <row r="81" spans="1:17" s="32" customFormat="1" x14ac:dyDescent="0.25">
      <c r="A81" s="750">
        <v>23</v>
      </c>
      <c r="B81" s="750"/>
      <c r="C81" s="883" t="s">
        <v>936</v>
      </c>
      <c r="D81" s="742" t="s">
        <v>233</v>
      </c>
      <c r="E81" s="742">
        <v>32</v>
      </c>
      <c r="F81" s="742"/>
      <c r="G81" s="123"/>
      <c r="H81" s="122"/>
      <c r="I81" s="123"/>
      <c r="J81" s="124"/>
      <c r="K81" s="122"/>
      <c r="L81" s="122"/>
      <c r="M81" s="126"/>
      <c r="N81" s="126"/>
      <c r="O81" s="126"/>
      <c r="P81" s="126"/>
      <c r="Q81" s="126"/>
    </row>
    <row r="82" spans="1:17" s="32" customFormat="1" x14ac:dyDescent="0.25">
      <c r="A82" s="750">
        <v>24</v>
      </c>
      <c r="B82" s="750"/>
      <c r="C82" s="883" t="s">
        <v>937</v>
      </c>
      <c r="D82" s="742" t="s">
        <v>233</v>
      </c>
      <c r="E82" s="742">
        <v>2</v>
      </c>
      <c r="F82" s="742"/>
      <c r="G82" s="123"/>
      <c r="H82" s="122"/>
      <c r="I82" s="123"/>
      <c r="J82" s="124"/>
      <c r="K82" s="122"/>
      <c r="L82" s="122"/>
      <c r="M82" s="126"/>
      <c r="N82" s="126"/>
      <c r="O82" s="126"/>
      <c r="P82" s="126"/>
      <c r="Q82" s="126"/>
    </row>
    <row r="83" spans="1:17" s="32" customFormat="1" ht="22.5" x14ac:dyDescent="0.25">
      <c r="A83" s="750">
        <v>25</v>
      </c>
      <c r="B83" s="750"/>
      <c r="C83" s="883" t="s">
        <v>938</v>
      </c>
      <c r="D83" s="742" t="s">
        <v>233</v>
      </c>
      <c r="E83" s="742">
        <v>8</v>
      </c>
      <c r="F83" s="742"/>
      <c r="G83" s="123"/>
      <c r="H83" s="122"/>
      <c r="I83" s="123"/>
      <c r="J83" s="124"/>
      <c r="K83" s="122"/>
      <c r="L83" s="122"/>
      <c r="M83" s="126"/>
      <c r="N83" s="126"/>
      <c r="O83" s="126"/>
      <c r="P83" s="126"/>
      <c r="Q83" s="126"/>
    </row>
    <row r="84" spans="1:17" s="32" customFormat="1" ht="22.5" x14ac:dyDescent="0.25">
      <c r="A84" s="750">
        <v>26</v>
      </c>
      <c r="B84" s="750"/>
      <c r="C84" s="883" t="s">
        <v>939</v>
      </c>
      <c r="D84" s="742" t="s">
        <v>233</v>
      </c>
      <c r="E84" s="742">
        <v>16</v>
      </c>
      <c r="F84" s="742"/>
      <c r="G84" s="123"/>
      <c r="H84" s="122"/>
      <c r="I84" s="123"/>
      <c r="J84" s="124"/>
      <c r="K84" s="122"/>
      <c r="L84" s="122"/>
      <c r="M84" s="126"/>
      <c r="N84" s="126"/>
      <c r="O84" s="126"/>
      <c r="P84" s="126"/>
      <c r="Q84" s="126"/>
    </row>
    <row r="85" spans="1:17" s="32" customFormat="1" ht="22.5" x14ac:dyDescent="0.25">
      <c r="A85" s="750">
        <v>27</v>
      </c>
      <c r="B85" s="750"/>
      <c r="C85" s="883" t="s">
        <v>940</v>
      </c>
      <c r="D85" s="742" t="s">
        <v>233</v>
      </c>
      <c r="E85" s="742">
        <v>8</v>
      </c>
      <c r="F85" s="742"/>
      <c r="G85" s="123"/>
      <c r="H85" s="122"/>
      <c r="I85" s="123"/>
      <c r="J85" s="124"/>
      <c r="K85" s="122"/>
      <c r="L85" s="122"/>
      <c r="M85" s="126"/>
      <c r="N85" s="126"/>
      <c r="O85" s="126"/>
      <c r="P85" s="126"/>
      <c r="Q85" s="126"/>
    </row>
    <row r="86" spans="1:17" s="32" customFormat="1" ht="22.5" x14ac:dyDescent="0.25">
      <c r="A86" s="750">
        <v>28</v>
      </c>
      <c r="B86" s="750"/>
      <c r="C86" s="883" t="s">
        <v>941</v>
      </c>
      <c r="D86" s="742" t="s">
        <v>233</v>
      </c>
      <c r="E86" s="742">
        <v>8</v>
      </c>
      <c r="F86" s="742"/>
      <c r="G86" s="123"/>
      <c r="H86" s="122"/>
      <c r="I86" s="123"/>
      <c r="J86" s="124"/>
      <c r="K86" s="122"/>
      <c r="L86" s="122"/>
      <c r="M86" s="126"/>
      <c r="N86" s="126"/>
      <c r="O86" s="126"/>
      <c r="P86" s="126"/>
      <c r="Q86" s="126"/>
    </row>
    <row r="87" spans="1:17" s="32" customFormat="1" ht="22.5" x14ac:dyDescent="0.25">
      <c r="A87" s="750">
        <v>29</v>
      </c>
      <c r="B87" s="750"/>
      <c r="C87" s="883" t="s">
        <v>955</v>
      </c>
      <c r="D87" s="742" t="s">
        <v>233</v>
      </c>
      <c r="E87" s="742">
        <v>4</v>
      </c>
      <c r="F87" s="742"/>
      <c r="G87" s="123"/>
      <c r="H87" s="122"/>
      <c r="I87" s="123"/>
      <c r="J87" s="124"/>
      <c r="K87" s="122"/>
      <c r="L87" s="122"/>
      <c r="M87" s="126"/>
      <c r="N87" s="126"/>
      <c r="O87" s="126"/>
      <c r="P87" s="126"/>
      <c r="Q87" s="126"/>
    </row>
    <row r="88" spans="1:17" s="32" customFormat="1" ht="22.5" x14ac:dyDescent="0.25">
      <c r="A88" s="750">
        <v>30</v>
      </c>
      <c r="B88" s="750"/>
      <c r="C88" s="883" t="s">
        <v>942</v>
      </c>
      <c r="D88" s="742" t="s">
        <v>233</v>
      </c>
      <c r="E88" s="742">
        <v>2</v>
      </c>
      <c r="F88" s="742"/>
      <c r="G88" s="123"/>
      <c r="H88" s="122"/>
      <c r="I88" s="123"/>
      <c r="J88" s="124"/>
      <c r="K88" s="122"/>
      <c r="L88" s="122"/>
      <c r="M88" s="126"/>
      <c r="N88" s="126"/>
      <c r="O88" s="126"/>
      <c r="P88" s="126"/>
      <c r="Q88" s="126"/>
    </row>
    <row r="89" spans="1:17" s="32" customFormat="1" ht="22.5" x14ac:dyDescent="0.25">
      <c r="A89" s="750">
        <v>31</v>
      </c>
      <c r="B89" s="750"/>
      <c r="C89" s="883" t="s">
        <v>943</v>
      </c>
      <c r="D89" s="742" t="s">
        <v>233</v>
      </c>
      <c r="E89" s="742">
        <v>8</v>
      </c>
      <c r="F89" s="742"/>
      <c r="G89" s="123"/>
      <c r="H89" s="122"/>
      <c r="I89" s="123"/>
      <c r="J89" s="124"/>
      <c r="K89" s="122"/>
      <c r="L89" s="122"/>
      <c r="M89" s="126"/>
      <c r="N89" s="126"/>
      <c r="O89" s="126"/>
      <c r="P89" s="126"/>
      <c r="Q89" s="126"/>
    </row>
    <row r="90" spans="1:17" s="32" customFormat="1" ht="22.5" x14ac:dyDescent="0.25">
      <c r="A90" s="750">
        <v>32</v>
      </c>
      <c r="B90" s="750"/>
      <c r="C90" s="883" t="s">
        <v>944</v>
      </c>
      <c r="D90" s="742" t="s">
        <v>233</v>
      </c>
      <c r="E90" s="742">
        <v>60</v>
      </c>
      <c r="F90" s="742"/>
      <c r="G90" s="123"/>
      <c r="H90" s="122"/>
      <c r="I90" s="123"/>
      <c r="J90" s="124"/>
      <c r="K90" s="122"/>
      <c r="L90" s="122"/>
      <c r="M90" s="126"/>
      <c r="N90" s="126"/>
      <c r="O90" s="126"/>
      <c r="P90" s="126"/>
      <c r="Q90" s="126"/>
    </row>
    <row r="91" spans="1:17" s="32" customFormat="1" x14ac:dyDescent="0.25">
      <c r="A91" s="750">
        <v>33</v>
      </c>
      <c r="B91" s="750"/>
      <c r="C91" s="95" t="s">
        <v>644</v>
      </c>
      <c r="D91" s="742" t="s">
        <v>233</v>
      </c>
      <c r="E91" s="742">
        <v>8</v>
      </c>
      <c r="F91" s="742"/>
      <c r="G91" s="123"/>
      <c r="H91" s="122"/>
      <c r="I91" s="123"/>
      <c r="J91" s="124"/>
      <c r="K91" s="122"/>
      <c r="L91" s="122"/>
      <c r="M91" s="126"/>
      <c r="N91" s="126"/>
      <c r="O91" s="126"/>
      <c r="P91" s="126"/>
      <c r="Q91" s="126"/>
    </row>
    <row r="92" spans="1:17" s="32" customFormat="1" ht="33.75" x14ac:dyDescent="0.25">
      <c r="A92" s="750">
        <v>34</v>
      </c>
      <c r="B92" s="750"/>
      <c r="C92" s="95" t="s">
        <v>663</v>
      </c>
      <c r="D92" s="742" t="s">
        <v>233</v>
      </c>
      <c r="E92" s="742">
        <v>2</v>
      </c>
      <c r="F92" s="742"/>
      <c r="G92" s="123"/>
      <c r="H92" s="122"/>
      <c r="I92" s="123"/>
      <c r="J92" s="124"/>
      <c r="K92" s="122"/>
      <c r="L92" s="122"/>
      <c r="M92" s="126"/>
      <c r="N92" s="126"/>
      <c r="O92" s="126"/>
      <c r="P92" s="126"/>
      <c r="Q92" s="126"/>
    </row>
    <row r="93" spans="1:17" s="32" customFormat="1" ht="33.75" x14ac:dyDescent="0.25">
      <c r="A93" s="750">
        <v>35</v>
      </c>
      <c r="B93" s="750"/>
      <c r="C93" s="95" t="s">
        <v>645</v>
      </c>
      <c r="D93" s="742" t="s">
        <v>233</v>
      </c>
      <c r="E93" s="742">
        <v>2</v>
      </c>
      <c r="F93" s="742"/>
      <c r="G93" s="123"/>
      <c r="H93" s="122"/>
      <c r="I93" s="123"/>
      <c r="J93" s="124"/>
      <c r="K93" s="122"/>
      <c r="L93" s="122"/>
      <c r="M93" s="126"/>
      <c r="N93" s="126"/>
      <c r="O93" s="126"/>
      <c r="P93" s="126"/>
      <c r="Q93" s="126"/>
    </row>
    <row r="94" spans="1:17" s="32" customFormat="1" ht="33.75" x14ac:dyDescent="0.25">
      <c r="A94" s="750">
        <v>36</v>
      </c>
      <c r="B94" s="750"/>
      <c r="C94" s="95" t="s">
        <v>646</v>
      </c>
      <c r="D94" s="742" t="s">
        <v>233</v>
      </c>
      <c r="E94" s="742">
        <v>20</v>
      </c>
      <c r="F94" s="742"/>
      <c r="G94" s="123"/>
      <c r="H94" s="122"/>
      <c r="I94" s="123"/>
      <c r="J94" s="124"/>
      <c r="K94" s="122"/>
      <c r="L94" s="122"/>
      <c r="M94" s="126"/>
      <c r="N94" s="126"/>
      <c r="O94" s="126"/>
      <c r="P94" s="126"/>
      <c r="Q94" s="126"/>
    </row>
    <row r="95" spans="1:17" s="32" customFormat="1" ht="33.75" x14ac:dyDescent="0.25">
      <c r="A95" s="750">
        <v>37</v>
      </c>
      <c r="B95" s="750"/>
      <c r="C95" s="95" t="s">
        <v>647</v>
      </c>
      <c r="D95" s="742" t="s">
        <v>233</v>
      </c>
      <c r="E95" s="742">
        <v>16</v>
      </c>
      <c r="F95" s="742"/>
      <c r="G95" s="123"/>
      <c r="H95" s="122"/>
      <c r="I95" s="123"/>
      <c r="J95" s="124"/>
      <c r="K95" s="122"/>
      <c r="L95" s="122"/>
      <c r="M95" s="126"/>
      <c r="N95" s="126"/>
      <c r="O95" s="126"/>
      <c r="P95" s="126"/>
      <c r="Q95" s="126"/>
    </row>
    <row r="96" spans="1:17" s="32" customFormat="1" ht="33.75" x14ac:dyDescent="0.25">
      <c r="A96" s="750">
        <v>38</v>
      </c>
      <c r="B96" s="750"/>
      <c r="C96" s="95" t="s">
        <v>648</v>
      </c>
      <c r="D96" s="742" t="s">
        <v>233</v>
      </c>
      <c r="E96" s="742">
        <v>16</v>
      </c>
      <c r="F96" s="742"/>
      <c r="G96" s="123"/>
      <c r="H96" s="122"/>
      <c r="I96" s="123"/>
      <c r="J96" s="124"/>
      <c r="K96" s="122"/>
      <c r="L96" s="122"/>
      <c r="M96" s="126"/>
      <c r="N96" s="126"/>
      <c r="O96" s="126"/>
      <c r="P96" s="126"/>
      <c r="Q96" s="126"/>
    </row>
    <row r="97" spans="1:17" s="32" customFormat="1" ht="33.75" x14ac:dyDescent="0.25">
      <c r="A97" s="750">
        <v>39</v>
      </c>
      <c r="B97" s="750"/>
      <c r="C97" s="95" t="s">
        <v>649</v>
      </c>
      <c r="D97" s="742" t="s">
        <v>233</v>
      </c>
      <c r="E97" s="742">
        <v>8</v>
      </c>
      <c r="F97" s="742"/>
      <c r="G97" s="123"/>
      <c r="H97" s="122"/>
      <c r="I97" s="123"/>
      <c r="J97" s="124"/>
      <c r="K97" s="122"/>
      <c r="L97" s="122"/>
      <c r="M97" s="126"/>
      <c r="N97" s="126"/>
      <c r="O97" s="126"/>
      <c r="P97" s="126"/>
      <c r="Q97" s="126"/>
    </row>
    <row r="98" spans="1:17" s="32" customFormat="1" ht="33.75" x14ac:dyDescent="0.25">
      <c r="A98" s="750">
        <v>40</v>
      </c>
      <c r="B98" s="750"/>
      <c r="C98" s="95" t="s">
        <v>650</v>
      </c>
      <c r="D98" s="742" t="s">
        <v>233</v>
      </c>
      <c r="E98" s="742">
        <v>120</v>
      </c>
      <c r="F98" s="742"/>
      <c r="G98" s="123"/>
      <c r="H98" s="122"/>
      <c r="I98" s="123"/>
      <c r="J98" s="124"/>
      <c r="K98" s="122"/>
      <c r="L98" s="122"/>
      <c r="M98" s="126"/>
      <c r="N98" s="126"/>
      <c r="O98" s="126"/>
      <c r="P98" s="126"/>
      <c r="Q98" s="126"/>
    </row>
    <row r="99" spans="1:17" s="32" customFormat="1" ht="22.5" x14ac:dyDescent="0.25">
      <c r="A99" s="750">
        <v>41</v>
      </c>
      <c r="B99" s="750"/>
      <c r="C99" s="95" t="s">
        <v>664</v>
      </c>
      <c r="D99" s="742" t="s">
        <v>16</v>
      </c>
      <c r="E99" s="742">
        <f>E59</f>
        <v>40</v>
      </c>
      <c r="F99" s="742"/>
      <c r="G99" s="123"/>
      <c r="H99" s="122"/>
      <c r="I99" s="123"/>
      <c r="J99" s="124"/>
      <c r="K99" s="122"/>
      <c r="L99" s="122"/>
      <c r="M99" s="126"/>
      <c r="N99" s="126"/>
      <c r="O99" s="126"/>
      <c r="P99" s="126"/>
      <c r="Q99" s="126"/>
    </row>
    <row r="100" spans="1:17" s="32" customFormat="1" ht="22.5" x14ac:dyDescent="0.25">
      <c r="A100" s="750">
        <v>42</v>
      </c>
      <c r="B100" s="750"/>
      <c r="C100" s="95" t="s">
        <v>651</v>
      </c>
      <c r="D100" s="742" t="s">
        <v>16</v>
      </c>
      <c r="E100" s="742">
        <f t="shared" ref="E100:E105" si="2">E60</f>
        <v>60</v>
      </c>
      <c r="F100" s="742"/>
      <c r="G100" s="123"/>
      <c r="H100" s="122"/>
      <c r="I100" s="123"/>
      <c r="J100" s="124"/>
      <c r="K100" s="122"/>
      <c r="L100" s="122"/>
      <c r="M100" s="126"/>
      <c r="N100" s="126"/>
      <c r="O100" s="126"/>
      <c r="P100" s="126"/>
      <c r="Q100" s="126"/>
    </row>
    <row r="101" spans="1:17" s="32" customFormat="1" ht="22.5" x14ac:dyDescent="0.25">
      <c r="A101" s="750">
        <v>43</v>
      </c>
      <c r="B101" s="750"/>
      <c r="C101" s="95" t="s">
        <v>652</v>
      </c>
      <c r="D101" s="742" t="s">
        <v>16</v>
      </c>
      <c r="E101" s="742">
        <f t="shared" si="2"/>
        <v>150</v>
      </c>
      <c r="F101" s="742"/>
      <c r="G101" s="123"/>
      <c r="H101" s="122"/>
      <c r="I101" s="123"/>
      <c r="J101" s="124"/>
      <c r="K101" s="122"/>
      <c r="L101" s="122"/>
      <c r="M101" s="126"/>
      <c r="N101" s="126"/>
      <c r="O101" s="126"/>
      <c r="P101" s="126"/>
      <c r="Q101" s="126"/>
    </row>
    <row r="102" spans="1:17" s="32" customFormat="1" ht="22.5" x14ac:dyDescent="0.25">
      <c r="A102" s="750">
        <v>44</v>
      </c>
      <c r="B102" s="750"/>
      <c r="C102" s="95" t="s">
        <v>653</v>
      </c>
      <c r="D102" s="742" t="s">
        <v>16</v>
      </c>
      <c r="E102" s="742">
        <f t="shared" si="2"/>
        <v>50</v>
      </c>
      <c r="F102" s="742"/>
      <c r="G102" s="61"/>
      <c r="H102" s="122"/>
      <c r="I102" s="61"/>
      <c r="J102" s="125"/>
      <c r="K102" s="122"/>
      <c r="L102" s="122"/>
      <c r="M102" s="126"/>
      <c r="N102" s="126"/>
      <c r="O102" s="126"/>
      <c r="P102" s="126"/>
      <c r="Q102" s="126"/>
    </row>
    <row r="103" spans="1:17" s="32" customFormat="1" ht="22.5" x14ac:dyDescent="0.25">
      <c r="A103" s="750">
        <v>45</v>
      </c>
      <c r="B103" s="750"/>
      <c r="C103" s="95" t="s">
        <v>654</v>
      </c>
      <c r="D103" s="742" t="s">
        <v>16</v>
      </c>
      <c r="E103" s="742">
        <f t="shared" si="2"/>
        <v>40</v>
      </c>
      <c r="F103" s="742"/>
      <c r="G103" s="61"/>
      <c r="H103" s="122"/>
      <c r="I103" s="61"/>
      <c r="J103" s="125"/>
      <c r="K103" s="122"/>
      <c r="L103" s="122"/>
      <c r="M103" s="126"/>
      <c r="N103" s="126"/>
      <c r="O103" s="126"/>
      <c r="P103" s="126"/>
      <c r="Q103" s="126"/>
    </row>
    <row r="104" spans="1:17" s="32" customFormat="1" ht="22.5" x14ac:dyDescent="0.25">
      <c r="A104" s="750">
        <v>46</v>
      </c>
      <c r="B104" s="750"/>
      <c r="C104" s="95" t="s">
        <v>655</v>
      </c>
      <c r="D104" s="742" t="s">
        <v>16</v>
      </c>
      <c r="E104" s="742">
        <f t="shared" si="2"/>
        <v>25</v>
      </c>
      <c r="F104" s="742"/>
      <c r="G104" s="61"/>
      <c r="H104" s="122"/>
      <c r="I104" s="61"/>
      <c r="J104" s="125"/>
      <c r="K104" s="122"/>
      <c r="L104" s="122"/>
      <c r="M104" s="126"/>
      <c r="N104" s="126"/>
      <c r="O104" s="126"/>
      <c r="P104" s="126"/>
      <c r="Q104" s="126"/>
    </row>
    <row r="105" spans="1:17" s="32" customFormat="1" ht="22.5" x14ac:dyDescent="0.25">
      <c r="A105" s="750">
        <v>47</v>
      </c>
      <c r="B105" s="750"/>
      <c r="C105" s="95" t="s">
        <v>656</v>
      </c>
      <c r="D105" s="742" t="s">
        <v>16</v>
      </c>
      <c r="E105" s="742">
        <f t="shared" si="2"/>
        <v>160</v>
      </c>
      <c r="F105" s="742"/>
      <c r="G105" s="61"/>
      <c r="H105" s="122"/>
      <c r="I105" s="61"/>
      <c r="J105" s="125"/>
      <c r="K105" s="122"/>
      <c r="L105" s="122"/>
      <c r="M105" s="126"/>
      <c r="N105" s="126"/>
      <c r="O105" s="126"/>
      <c r="P105" s="126"/>
      <c r="Q105" s="126"/>
    </row>
    <row r="106" spans="1:17" s="32" customFormat="1" x14ac:dyDescent="0.25">
      <c r="A106" s="750">
        <v>48</v>
      </c>
      <c r="B106" s="750"/>
      <c r="C106" s="95" t="s">
        <v>657</v>
      </c>
      <c r="D106" s="742" t="s">
        <v>23</v>
      </c>
      <c r="E106" s="742">
        <v>50</v>
      </c>
      <c r="F106" s="742"/>
      <c r="G106" s="123"/>
      <c r="H106" s="122"/>
      <c r="I106" s="123"/>
      <c r="J106" s="124"/>
      <c r="K106" s="122"/>
      <c r="L106" s="122"/>
      <c r="M106" s="126"/>
      <c r="N106" s="126"/>
      <c r="O106" s="126"/>
      <c r="P106" s="126"/>
      <c r="Q106" s="126"/>
    </row>
    <row r="107" spans="1:17" s="32" customFormat="1" x14ac:dyDescent="0.25">
      <c r="A107" s="750">
        <v>49</v>
      </c>
      <c r="B107" s="750"/>
      <c r="C107" s="95" t="s">
        <v>238</v>
      </c>
      <c r="D107" s="742" t="s">
        <v>68</v>
      </c>
      <c r="E107" s="742">
        <v>4</v>
      </c>
      <c r="F107" s="742"/>
      <c r="G107" s="123"/>
      <c r="H107" s="122"/>
      <c r="I107" s="123"/>
      <c r="J107" s="124"/>
      <c r="K107" s="122"/>
      <c r="L107" s="122"/>
      <c r="M107" s="126"/>
      <c r="N107" s="126"/>
      <c r="O107" s="126"/>
      <c r="P107" s="126"/>
      <c r="Q107" s="126"/>
    </row>
    <row r="108" spans="1:17" s="32" customFormat="1" x14ac:dyDescent="0.25">
      <c r="A108" s="750">
        <v>50</v>
      </c>
      <c r="B108" s="750"/>
      <c r="C108" s="95" t="s">
        <v>658</v>
      </c>
      <c r="D108" s="742" t="s">
        <v>68</v>
      </c>
      <c r="E108" s="742">
        <v>4</v>
      </c>
      <c r="F108" s="742"/>
      <c r="G108" s="123"/>
      <c r="H108" s="122"/>
      <c r="I108" s="123"/>
      <c r="J108" s="124"/>
      <c r="K108" s="122"/>
      <c r="L108" s="122"/>
      <c r="M108" s="126"/>
      <c r="N108" s="126"/>
      <c r="O108" s="126"/>
      <c r="P108" s="126"/>
      <c r="Q108" s="126"/>
    </row>
    <row r="109" spans="1:17" s="32" customFormat="1" ht="22.5" x14ac:dyDescent="0.25">
      <c r="A109" s="750">
        <v>51</v>
      </c>
      <c r="B109" s="750"/>
      <c r="C109" s="95" t="s">
        <v>659</v>
      </c>
      <c r="D109" s="742" t="s">
        <v>17</v>
      </c>
      <c r="E109" s="742">
        <v>40</v>
      </c>
      <c r="F109" s="742"/>
      <c r="G109" s="123"/>
      <c r="H109" s="122"/>
      <c r="I109" s="123"/>
      <c r="J109" s="124"/>
      <c r="K109" s="122"/>
      <c r="L109" s="122"/>
      <c r="M109" s="126"/>
      <c r="N109" s="126"/>
      <c r="O109" s="126"/>
      <c r="P109" s="126"/>
      <c r="Q109" s="126"/>
    </row>
    <row r="110" spans="1:17" s="32" customFormat="1" ht="22.5" x14ac:dyDescent="0.25">
      <c r="A110" s="750">
        <v>52</v>
      </c>
      <c r="B110" s="750"/>
      <c r="C110" s="95" t="s">
        <v>665</v>
      </c>
      <c r="D110" s="742" t="s">
        <v>68</v>
      </c>
      <c r="E110" s="742">
        <v>1</v>
      </c>
      <c r="F110" s="742"/>
      <c r="G110" s="123"/>
      <c r="H110" s="122"/>
      <c r="I110" s="123"/>
      <c r="J110" s="124"/>
      <c r="K110" s="122"/>
      <c r="L110" s="122"/>
      <c r="M110" s="126"/>
      <c r="N110" s="126"/>
      <c r="O110" s="126"/>
      <c r="P110" s="126"/>
      <c r="Q110" s="126"/>
    </row>
    <row r="111" spans="1:17" ht="15" x14ac:dyDescent="0.25">
      <c r="A111" s="563"/>
      <c r="B111" s="563"/>
      <c r="C111" s="861" t="s">
        <v>666</v>
      </c>
      <c r="D111" s="862"/>
      <c r="E111" s="862"/>
      <c r="F111" s="757"/>
      <c r="G111" s="128"/>
      <c r="H111" s="122"/>
      <c r="I111" s="128"/>
      <c r="J111" s="238"/>
      <c r="K111" s="122"/>
      <c r="L111" s="122"/>
      <c r="M111" s="126"/>
      <c r="N111" s="126"/>
      <c r="O111" s="126"/>
      <c r="P111" s="126"/>
      <c r="Q111" s="126"/>
    </row>
    <row r="112" spans="1:17" s="373" customFormat="1" ht="101.25" x14ac:dyDescent="0.25">
      <c r="A112" s="617">
        <v>1</v>
      </c>
      <c r="B112" s="617"/>
      <c r="C112" s="810" t="s">
        <v>920</v>
      </c>
      <c r="D112" s="300" t="s">
        <v>68</v>
      </c>
      <c r="E112" s="584">
        <f>F112*86</f>
        <v>86</v>
      </c>
      <c r="F112" s="300">
        <v>1</v>
      </c>
      <c r="G112" s="123"/>
      <c r="H112" s="123"/>
      <c r="I112" s="123"/>
      <c r="J112" s="124"/>
      <c r="K112" s="122"/>
      <c r="L112" s="122"/>
      <c r="M112" s="126"/>
      <c r="N112" s="126"/>
      <c r="O112" s="126"/>
      <c r="P112" s="126"/>
      <c r="Q112" s="126"/>
    </row>
    <row r="113" spans="1:17" s="373" customFormat="1" ht="22.5" x14ac:dyDescent="0.25">
      <c r="A113" s="617">
        <v>2</v>
      </c>
      <c r="B113" s="617"/>
      <c r="C113" s="359" t="s">
        <v>907</v>
      </c>
      <c r="D113" s="300" t="s">
        <v>233</v>
      </c>
      <c r="E113" s="584">
        <f t="shared" ref="E113:E121" si="3">F113*86</f>
        <v>86</v>
      </c>
      <c r="F113" s="300">
        <v>1</v>
      </c>
      <c r="G113" s="123"/>
      <c r="H113" s="123"/>
      <c r="I113" s="123"/>
      <c r="J113" s="124"/>
      <c r="K113" s="122"/>
      <c r="L113" s="122"/>
      <c r="M113" s="126"/>
      <c r="N113" s="126"/>
      <c r="O113" s="126"/>
      <c r="P113" s="126"/>
      <c r="Q113" s="126"/>
    </row>
    <row r="114" spans="1:17" s="373" customFormat="1" ht="22.5" x14ac:dyDescent="0.25">
      <c r="A114" s="617">
        <v>3</v>
      </c>
      <c r="B114" s="617"/>
      <c r="C114" s="359" t="s">
        <v>908</v>
      </c>
      <c r="D114" s="300" t="s">
        <v>233</v>
      </c>
      <c r="E114" s="584">
        <f t="shared" si="3"/>
        <v>86</v>
      </c>
      <c r="F114" s="300">
        <v>1</v>
      </c>
      <c r="G114" s="123"/>
      <c r="H114" s="123"/>
      <c r="I114" s="123"/>
      <c r="J114" s="124"/>
      <c r="K114" s="122"/>
      <c r="L114" s="122"/>
      <c r="M114" s="126"/>
      <c r="N114" s="126"/>
      <c r="O114" s="126"/>
      <c r="P114" s="126"/>
      <c r="Q114" s="126"/>
    </row>
    <row r="115" spans="1:17" s="373" customFormat="1" x14ac:dyDescent="0.25">
      <c r="A115" s="617">
        <v>4</v>
      </c>
      <c r="B115" s="617"/>
      <c r="C115" s="359" t="s">
        <v>667</v>
      </c>
      <c r="D115" s="300" t="s">
        <v>233</v>
      </c>
      <c r="E115" s="584">
        <f t="shared" si="3"/>
        <v>172</v>
      </c>
      <c r="F115" s="300">
        <v>2</v>
      </c>
      <c r="G115" s="123"/>
      <c r="H115" s="123"/>
      <c r="I115" s="123"/>
      <c r="J115" s="124"/>
      <c r="K115" s="122"/>
      <c r="L115" s="122"/>
      <c r="M115" s="126"/>
      <c r="N115" s="126"/>
      <c r="O115" s="126"/>
      <c r="P115" s="126"/>
      <c r="Q115" s="126"/>
    </row>
    <row r="116" spans="1:17" s="373" customFormat="1" x14ac:dyDescent="0.25">
      <c r="A116" s="617">
        <v>5</v>
      </c>
      <c r="B116" s="617"/>
      <c r="C116" s="359" t="s">
        <v>668</v>
      </c>
      <c r="D116" s="300" t="s">
        <v>233</v>
      </c>
      <c r="E116" s="584">
        <f t="shared" si="3"/>
        <v>86</v>
      </c>
      <c r="F116" s="300">
        <v>1</v>
      </c>
      <c r="G116" s="123"/>
      <c r="H116" s="123"/>
      <c r="I116" s="123"/>
      <c r="J116" s="124"/>
      <c r="K116" s="122"/>
      <c r="L116" s="122"/>
      <c r="M116" s="126"/>
      <c r="N116" s="126"/>
      <c r="O116" s="126"/>
      <c r="P116" s="126"/>
      <c r="Q116" s="126"/>
    </row>
    <row r="117" spans="1:17" s="373" customFormat="1" x14ac:dyDescent="0.25">
      <c r="A117" s="617">
        <v>6</v>
      </c>
      <c r="B117" s="617"/>
      <c r="C117" s="359" t="s">
        <v>657</v>
      </c>
      <c r="D117" s="300" t="s">
        <v>23</v>
      </c>
      <c r="E117" s="584">
        <f t="shared" si="3"/>
        <v>8.6</v>
      </c>
      <c r="F117" s="300">
        <v>0.1</v>
      </c>
      <c r="G117" s="123"/>
      <c r="H117" s="123"/>
      <c r="I117" s="123"/>
      <c r="J117" s="124"/>
      <c r="K117" s="122"/>
      <c r="L117" s="122"/>
      <c r="M117" s="126"/>
      <c r="N117" s="126"/>
      <c r="O117" s="126"/>
      <c r="P117" s="126"/>
      <c r="Q117" s="126"/>
    </row>
    <row r="118" spans="1:17" s="373" customFormat="1" x14ac:dyDescent="0.25">
      <c r="A118" s="617">
        <v>7</v>
      </c>
      <c r="B118" s="617"/>
      <c r="C118" s="359" t="s">
        <v>238</v>
      </c>
      <c r="D118" s="300" t="s">
        <v>68</v>
      </c>
      <c r="E118" s="584">
        <f t="shared" si="3"/>
        <v>86</v>
      </c>
      <c r="F118" s="300">
        <v>1</v>
      </c>
      <c r="G118" s="123"/>
      <c r="H118" s="123"/>
      <c r="I118" s="123"/>
      <c r="J118" s="125"/>
      <c r="K118" s="122"/>
      <c r="L118" s="122"/>
      <c r="M118" s="126"/>
      <c r="N118" s="126"/>
      <c r="O118" s="126"/>
      <c r="P118" s="126"/>
      <c r="Q118" s="126"/>
    </row>
    <row r="119" spans="1:17" s="373" customFormat="1" x14ac:dyDescent="0.25">
      <c r="A119" s="617">
        <v>8</v>
      </c>
      <c r="B119" s="617"/>
      <c r="C119" s="359" t="s">
        <v>658</v>
      </c>
      <c r="D119" s="300" t="s">
        <v>68</v>
      </c>
      <c r="E119" s="584">
        <f t="shared" si="3"/>
        <v>86</v>
      </c>
      <c r="F119" s="300">
        <v>1</v>
      </c>
      <c r="G119" s="123"/>
      <c r="H119" s="123"/>
      <c r="I119" s="123"/>
      <c r="J119" s="125"/>
      <c r="K119" s="122"/>
      <c r="L119" s="122"/>
      <c r="M119" s="126"/>
      <c r="N119" s="126"/>
      <c r="O119" s="126"/>
      <c r="P119" s="126"/>
      <c r="Q119" s="126"/>
    </row>
    <row r="120" spans="1:17" s="373" customFormat="1" ht="22.5" x14ac:dyDescent="0.25">
      <c r="A120" s="617">
        <v>9</v>
      </c>
      <c r="B120" s="617"/>
      <c r="C120" s="359" t="s">
        <v>659</v>
      </c>
      <c r="D120" s="300" t="s">
        <v>17</v>
      </c>
      <c r="E120" s="584">
        <f t="shared" si="3"/>
        <v>8.6</v>
      </c>
      <c r="F120" s="300">
        <v>0.1</v>
      </c>
      <c r="G120" s="123"/>
      <c r="H120" s="123"/>
      <c r="I120" s="123"/>
      <c r="J120" s="124"/>
      <c r="K120" s="122"/>
      <c r="L120" s="122"/>
      <c r="M120" s="126"/>
      <c r="N120" s="126"/>
      <c r="O120" s="126"/>
      <c r="P120" s="126"/>
      <c r="Q120" s="126"/>
    </row>
    <row r="121" spans="1:17" s="373" customFormat="1" ht="22.5" x14ac:dyDescent="0.25">
      <c r="A121" s="617">
        <v>10</v>
      </c>
      <c r="B121" s="617"/>
      <c r="C121" s="359" t="s">
        <v>669</v>
      </c>
      <c r="D121" s="300" t="s">
        <v>68</v>
      </c>
      <c r="E121" s="584">
        <f t="shared" si="3"/>
        <v>86</v>
      </c>
      <c r="F121" s="300">
        <v>1</v>
      </c>
      <c r="G121" s="123"/>
      <c r="H121" s="123"/>
      <c r="I121" s="123"/>
      <c r="J121" s="124"/>
      <c r="K121" s="122"/>
      <c r="L121" s="122"/>
      <c r="M121" s="126"/>
      <c r="N121" s="126"/>
      <c r="O121" s="126"/>
      <c r="P121" s="126"/>
      <c r="Q121" s="126"/>
    </row>
    <row r="122" spans="1:17" s="373" customFormat="1" ht="22.5" x14ac:dyDescent="0.25">
      <c r="A122" s="617">
        <v>11</v>
      </c>
      <c r="B122" s="617"/>
      <c r="C122" s="811" t="s">
        <v>921</v>
      </c>
      <c r="D122" s="812" t="s">
        <v>233</v>
      </c>
      <c r="E122" s="813">
        <v>86</v>
      </c>
      <c r="F122" s="300"/>
      <c r="G122" s="123"/>
      <c r="H122" s="123"/>
      <c r="I122" s="123"/>
      <c r="J122" s="124"/>
      <c r="K122" s="122"/>
      <c r="L122" s="122"/>
      <c r="M122" s="126"/>
      <c r="N122" s="126"/>
      <c r="O122" s="126"/>
      <c r="P122" s="126"/>
      <c r="Q122" s="126"/>
    </row>
    <row r="123" spans="1:17" s="373" customFormat="1" x14ac:dyDescent="0.25">
      <c r="A123" s="742"/>
      <c r="B123" s="742"/>
      <c r="C123" s="747" t="s">
        <v>69</v>
      </c>
      <c r="D123" s="128"/>
      <c r="E123" s="584"/>
      <c r="F123" s="742"/>
      <c r="G123" s="123"/>
      <c r="H123" s="123"/>
      <c r="I123" s="123"/>
      <c r="J123" s="124"/>
      <c r="K123" s="122"/>
      <c r="L123" s="122"/>
      <c r="M123" s="126"/>
      <c r="N123" s="126"/>
      <c r="O123" s="126"/>
      <c r="P123" s="126"/>
      <c r="Q123" s="126"/>
    </row>
    <row r="124" spans="1:17" s="373" customFormat="1" x14ac:dyDescent="0.25">
      <c r="A124" s="742">
        <v>1</v>
      </c>
      <c r="B124" s="742"/>
      <c r="C124" s="359" t="s">
        <v>70</v>
      </c>
      <c r="D124" s="128" t="s">
        <v>68</v>
      </c>
      <c r="E124" s="742">
        <v>86</v>
      </c>
      <c r="F124" s="585"/>
      <c r="G124" s="61"/>
      <c r="H124" s="123"/>
      <c r="I124" s="61"/>
      <c r="J124" s="125"/>
      <c r="K124" s="61"/>
      <c r="L124" s="61"/>
      <c r="M124" s="61"/>
      <c r="N124" s="61"/>
      <c r="O124" s="61"/>
      <c r="P124" s="61"/>
      <c r="Q124" s="61"/>
    </row>
    <row r="125" spans="1:17" s="373" customFormat="1" ht="22.5" x14ac:dyDescent="0.25">
      <c r="A125" s="617">
        <v>2</v>
      </c>
      <c r="B125" s="742"/>
      <c r="C125" s="95" t="s">
        <v>909</v>
      </c>
      <c r="D125" s="742" t="s">
        <v>233</v>
      </c>
      <c r="E125" s="742">
        <v>15</v>
      </c>
      <c r="F125" s="585"/>
      <c r="G125" s="61"/>
      <c r="H125" s="123"/>
      <c r="I125" s="61"/>
      <c r="J125" s="125"/>
      <c r="K125" s="61"/>
      <c r="L125" s="61"/>
      <c r="M125" s="61"/>
      <c r="N125" s="61"/>
      <c r="O125" s="61"/>
      <c r="P125" s="61"/>
      <c r="Q125" s="61"/>
    </row>
    <row r="126" spans="1:17" s="373" customFormat="1" ht="22.5" x14ac:dyDescent="0.25">
      <c r="A126" s="742">
        <v>3</v>
      </c>
      <c r="B126" s="742"/>
      <c r="C126" s="95" t="s">
        <v>910</v>
      </c>
      <c r="D126" s="742" t="s">
        <v>233</v>
      </c>
      <c r="E126" s="742">
        <v>71</v>
      </c>
      <c r="F126" s="585"/>
      <c r="G126" s="61"/>
      <c r="H126" s="123"/>
      <c r="I126" s="61"/>
      <c r="J126" s="125"/>
      <c r="K126" s="61"/>
      <c r="L126" s="61"/>
      <c r="M126" s="61"/>
      <c r="N126" s="61"/>
      <c r="O126" s="61"/>
      <c r="P126" s="61"/>
      <c r="Q126" s="61"/>
    </row>
    <row r="127" spans="1:17" s="373" customFormat="1" ht="33.75" x14ac:dyDescent="0.25">
      <c r="A127" s="617">
        <v>4</v>
      </c>
      <c r="B127" s="617"/>
      <c r="C127" s="95" t="s">
        <v>911</v>
      </c>
      <c r="D127" s="742" t="s">
        <v>233</v>
      </c>
      <c r="E127" s="742">
        <v>71</v>
      </c>
      <c r="F127" s="585"/>
      <c r="G127" s="123"/>
      <c r="H127" s="123"/>
      <c r="I127" s="123"/>
      <c r="J127" s="124"/>
      <c r="K127" s="123"/>
      <c r="L127" s="126"/>
      <c r="M127" s="61"/>
      <c r="N127" s="61"/>
      <c r="O127" s="61"/>
      <c r="P127" s="61"/>
      <c r="Q127" s="61"/>
    </row>
    <row r="128" spans="1:17" s="373" customFormat="1" ht="15" x14ac:dyDescent="0.25">
      <c r="A128" s="758"/>
      <c r="B128" s="758"/>
      <c r="C128" s="747" t="s">
        <v>670</v>
      </c>
      <c r="D128" s="700"/>
      <c r="E128" s="584"/>
      <c r="F128" s="700"/>
      <c r="G128" s="123"/>
      <c r="H128" s="123"/>
      <c r="I128" s="123"/>
      <c r="J128" s="124"/>
      <c r="K128" s="122"/>
      <c r="L128" s="122"/>
      <c r="M128" s="126"/>
      <c r="N128" s="126"/>
      <c r="O128" s="126"/>
      <c r="P128" s="126"/>
      <c r="Q128" s="126"/>
    </row>
    <row r="129" spans="1:17" s="373" customFormat="1" ht="45" x14ac:dyDescent="0.25">
      <c r="A129" s="742">
        <v>1</v>
      </c>
      <c r="B129" s="742"/>
      <c r="C129" s="808" t="s">
        <v>916</v>
      </c>
      <c r="D129" s="128" t="s">
        <v>68</v>
      </c>
      <c r="E129" s="128">
        <v>5</v>
      </c>
      <c r="G129" s="61"/>
      <c r="H129" s="123"/>
      <c r="I129" s="61"/>
      <c r="J129" s="125"/>
      <c r="K129" s="122"/>
      <c r="L129" s="122"/>
      <c r="M129" s="126"/>
      <c r="N129" s="126"/>
      <c r="O129" s="126"/>
      <c r="P129" s="126"/>
      <c r="Q129" s="126"/>
    </row>
    <row r="130" spans="1:17" s="373" customFormat="1" ht="45" x14ac:dyDescent="0.25">
      <c r="A130" s="742">
        <v>2</v>
      </c>
      <c r="B130" s="742"/>
      <c r="C130" s="808" t="s">
        <v>917</v>
      </c>
      <c r="D130" s="128" t="s">
        <v>68</v>
      </c>
      <c r="E130" s="128">
        <v>1</v>
      </c>
      <c r="G130" s="61"/>
      <c r="H130" s="123"/>
      <c r="I130" s="61"/>
      <c r="J130" s="125"/>
      <c r="K130" s="122"/>
      <c r="L130" s="122"/>
      <c r="M130" s="126"/>
      <c r="N130" s="126"/>
      <c r="O130" s="126"/>
      <c r="P130" s="126"/>
      <c r="Q130" s="126"/>
    </row>
    <row r="131" spans="1:17" s="373" customFormat="1" ht="45" x14ac:dyDescent="0.25">
      <c r="A131" s="742">
        <v>3</v>
      </c>
      <c r="B131" s="742"/>
      <c r="C131" s="808" t="s">
        <v>918</v>
      </c>
      <c r="D131" s="128" t="s">
        <v>68</v>
      </c>
      <c r="E131" s="128">
        <v>1</v>
      </c>
      <c r="G131" s="61"/>
      <c r="H131" s="123"/>
      <c r="I131" s="61"/>
      <c r="J131" s="125"/>
      <c r="K131" s="122"/>
      <c r="L131" s="122"/>
      <c r="M131" s="126"/>
      <c r="N131" s="126"/>
      <c r="O131" s="126"/>
      <c r="P131" s="126"/>
      <c r="Q131" s="126"/>
    </row>
    <row r="132" spans="1:17" s="373" customFormat="1" ht="33.75" x14ac:dyDescent="0.25">
      <c r="A132" s="742">
        <v>4</v>
      </c>
      <c r="B132" s="742"/>
      <c r="C132" s="809" t="s">
        <v>919</v>
      </c>
      <c r="D132" s="128" t="s">
        <v>68</v>
      </c>
      <c r="E132" s="128">
        <v>7</v>
      </c>
      <c r="G132" s="61"/>
      <c r="H132" s="123"/>
      <c r="I132" s="61"/>
      <c r="J132" s="125"/>
      <c r="K132" s="122"/>
      <c r="L132" s="122"/>
      <c r="M132" s="126"/>
      <c r="N132" s="126"/>
      <c r="O132" s="126"/>
      <c r="P132" s="126"/>
      <c r="Q132" s="126"/>
    </row>
    <row r="133" spans="1:17" s="373" customFormat="1" ht="33.75" x14ac:dyDescent="0.25">
      <c r="A133" s="742">
        <v>5</v>
      </c>
      <c r="B133" s="742"/>
      <c r="C133" s="808" t="s">
        <v>956</v>
      </c>
      <c r="D133" s="742" t="s">
        <v>233</v>
      </c>
      <c r="E133" s="742">
        <v>7</v>
      </c>
      <c r="G133" s="61"/>
      <c r="H133" s="123"/>
      <c r="I133" s="61"/>
      <c r="J133" s="125"/>
      <c r="K133" s="122"/>
      <c r="L133" s="122"/>
      <c r="M133" s="126"/>
      <c r="N133" s="126"/>
      <c r="O133" s="126"/>
      <c r="P133" s="126"/>
      <c r="Q133" s="126"/>
    </row>
    <row r="134" spans="1:17" s="373" customFormat="1" ht="22.5" x14ac:dyDescent="0.25">
      <c r="A134" s="742">
        <v>6</v>
      </c>
      <c r="B134" s="742"/>
      <c r="C134" s="814" t="s">
        <v>958</v>
      </c>
      <c r="D134" s="742" t="s">
        <v>16</v>
      </c>
      <c r="E134" s="742">
        <v>30</v>
      </c>
      <c r="G134" s="61"/>
      <c r="H134" s="123"/>
      <c r="I134" s="61"/>
      <c r="J134" s="125"/>
      <c r="K134" s="122"/>
      <c r="L134" s="122"/>
      <c r="M134" s="126"/>
      <c r="N134" s="126"/>
      <c r="O134" s="126"/>
      <c r="P134" s="126"/>
      <c r="Q134" s="126"/>
    </row>
    <row r="135" spans="1:17" s="373" customFormat="1" ht="22.5" x14ac:dyDescent="0.25">
      <c r="A135" s="742">
        <v>7</v>
      </c>
      <c r="B135" s="742"/>
      <c r="C135" s="814" t="s">
        <v>959</v>
      </c>
      <c r="D135" s="742" t="s">
        <v>233</v>
      </c>
      <c r="E135" s="742">
        <v>30</v>
      </c>
      <c r="G135" s="61"/>
      <c r="H135" s="123"/>
      <c r="I135" s="61"/>
      <c r="J135" s="125"/>
      <c r="K135" s="122"/>
      <c r="L135" s="122"/>
      <c r="M135" s="126"/>
      <c r="N135" s="126"/>
      <c r="O135" s="126"/>
      <c r="P135" s="126"/>
      <c r="Q135" s="126"/>
    </row>
    <row r="136" spans="1:17" s="373" customFormat="1" ht="22.5" x14ac:dyDescent="0.25">
      <c r="A136" s="742">
        <v>8</v>
      </c>
      <c r="B136" s="742"/>
      <c r="C136" s="54" t="s">
        <v>671</v>
      </c>
      <c r="D136" s="742" t="s">
        <v>16</v>
      </c>
      <c r="E136" s="742">
        <v>30</v>
      </c>
      <c r="G136" s="61"/>
      <c r="H136" s="123"/>
      <c r="I136" s="61"/>
      <c r="J136" s="125"/>
      <c r="K136" s="122"/>
      <c r="L136" s="122"/>
      <c r="M136" s="126"/>
      <c r="N136" s="126"/>
      <c r="O136" s="126"/>
      <c r="P136" s="126"/>
      <c r="Q136" s="126"/>
    </row>
    <row r="137" spans="1:17" s="373" customFormat="1" ht="22.5" x14ac:dyDescent="0.25">
      <c r="A137" s="742">
        <v>9</v>
      </c>
      <c r="B137" s="742"/>
      <c r="C137" s="54" t="s">
        <v>672</v>
      </c>
      <c r="D137" s="742" t="s">
        <v>233</v>
      </c>
      <c r="E137" s="742">
        <v>2</v>
      </c>
      <c r="G137" s="61"/>
      <c r="H137" s="123"/>
      <c r="I137" s="61"/>
      <c r="J137" s="125"/>
      <c r="K137" s="122"/>
      <c r="L137" s="122"/>
      <c r="M137" s="126"/>
      <c r="N137" s="126"/>
      <c r="O137" s="126"/>
      <c r="P137" s="126"/>
      <c r="Q137" s="126"/>
    </row>
    <row r="138" spans="1:17" s="373" customFormat="1" x14ac:dyDescent="0.25">
      <c r="A138" s="742">
        <v>10</v>
      </c>
      <c r="B138" s="742"/>
      <c r="C138" s="54" t="s">
        <v>657</v>
      </c>
      <c r="D138" s="742" t="s">
        <v>23</v>
      </c>
      <c r="E138" s="742">
        <v>3</v>
      </c>
      <c r="G138" s="123"/>
      <c r="H138" s="123"/>
      <c r="I138" s="123"/>
      <c r="J138" s="124"/>
      <c r="K138" s="122"/>
      <c r="L138" s="122"/>
      <c r="M138" s="126"/>
      <c r="N138" s="126"/>
      <c r="O138" s="126"/>
      <c r="P138" s="126"/>
      <c r="Q138" s="126"/>
    </row>
    <row r="139" spans="1:17" s="373" customFormat="1" x14ac:dyDescent="0.25">
      <c r="A139" s="742">
        <v>11</v>
      </c>
      <c r="B139" s="742"/>
      <c r="C139" s="54" t="s">
        <v>658</v>
      </c>
      <c r="D139" s="742" t="s">
        <v>68</v>
      </c>
      <c r="E139" s="742">
        <v>6</v>
      </c>
      <c r="G139" s="61"/>
      <c r="H139" s="123"/>
      <c r="I139" s="61"/>
      <c r="J139" s="125"/>
      <c r="K139" s="122"/>
      <c r="L139" s="122"/>
      <c r="M139" s="126"/>
      <c r="N139" s="126"/>
      <c r="O139" s="126"/>
      <c r="P139" s="126"/>
      <c r="Q139" s="126"/>
    </row>
    <row r="140" spans="1:17" s="373" customFormat="1" ht="22.5" x14ac:dyDescent="0.25">
      <c r="A140" s="742">
        <v>12</v>
      </c>
      <c r="B140" s="742"/>
      <c r="C140" s="54" t="s">
        <v>665</v>
      </c>
      <c r="D140" s="742" t="s">
        <v>68</v>
      </c>
      <c r="E140" s="742">
        <v>1</v>
      </c>
      <c r="G140" s="61"/>
      <c r="H140" s="123"/>
      <c r="I140" s="61"/>
      <c r="J140" s="125"/>
      <c r="K140" s="122"/>
      <c r="L140" s="122"/>
      <c r="M140" s="126"/>
      <c r="N140" s="126"/>
      <c r="O140" s="126"/>
      <c r="P140" s="126"/>
      <c r="Q140" s="126"/>
    </row>
    <row r="141" spans="1:17" s="373" customFormat="1" x14ac:dyDescent="0.25">
      <c r="A141" s="742"/>
      <c r="B141" s="742"/>
      <c r="C141" s="565" t="s">
        <v>673</v>
      </c>
      <c r="D141" s="565"/>
      <c r="E141" s="584"/>
      <c r="F141" s="565"/>
      <c r="G141" s="61"/>
      <c r="H141" s="123"/>
      <c r="I141" s="61"/>
      <c r="J141" s="125"/>
      <c r="K141" s="122"/>
      <c r="L141" s="122"/>
      <c r="M141" s="126"/>
      <c r="N141" s="126"/>
      <c r="O141" s="126"/>
      <c r="P141" s="126"/>
      <c r="Q141" s="126"/>
    </row>
    <row r="142" spans="1:17" ht="15" x14ac:dyDescent="0.25">
      <c r="A142" s="742"/>
      <c r="B142" s="742"/>
      <c r="C142" s="759" t="s">
        <v>756</v>
      </c>
      <c r="D142" s="760"/>
      <c r="E142" s="128"/>
      <c r="F142" s="742"/>
      <c r="G142" s="61"/>
      <c r="H142" s="123"/>
      <c r="I142" s="61"/>
      <c r="J142" s="125"/>
      <c r="K142" s="122"/>
      <c r="L142" s="122"/>
      <c r="M142" s="126"/>
      <c r="N142" s="126"/>
      <c r="O142" s="126"/>
      <c r="P142" s="126"/>
      <c r="Q142" s="126"/>
    </row>
    <row r="143" spans="1:17" s="373" customFormat="1" ht="33.75" x14ac:dyDescent="0.25">
      <c r="A143" s="742">
        <v>5</v>
      </c>
      <c r="B143" s="742"/>
      <c r="C143" s="809" t="s">
        <v>919</v>
      </c>
      <c r="D143" s="128" t="s">
        <v>68</v>
      </c>
      <c r="E143" s="128">
        <f t="shared" ref="E143:E155" si="4">F143*8</f>
        <v>32</v>
      </c>
      <c r="F143" s="128">
        <v>4</v>
      </c>
      <c r="G143" s="61"/>
      <c r="H143" s="123"/>
      <c r="I143" s="61"/>
      <c r="J143" s="125"/>
      <c r="K143" s="122"/>
      <c r="L143" s="122"/>
      <c r="M143" s="126"/>
      <c r="N143" s="126"/>
      <c r="O143" s="126"/>
      <c r="P143" s="126"/>
      <c r="Q143" s="126"/>
    </row>
    <row r="144" spans="1:17" s="373" customFormat="1" ht="33.75" x14ac:dyDescent="0.25">
      <c r="A144" s="742">
        <v>6</v>
      </c>
      <c r="B144" s="742"/>
      <c r="C144" s="808" t="s">
        <v>956</v>
      </c>
      <c r="D144" s="742" t="s">
        <v>233</v>
      </c>
      <c r="E144" s="128">
        <f t="shared" si="4"/>
        <v>32</v>
      </c>
      <c r="F144" s="742">
        <v>4</v>
      </c>
      <c r="G144" s="61"/>
      <c r="H144" s="123"/>
      <c r="I144" s="61"/>
      <c r="J144" s="125"/>
      <c r="K144" s="122"/>
      <c r="L144" s="122"/>
      <c r="M144" s="126"/>
      <c r="N144" s="126"/>
      <c r="O144" s="126"/>
      <c r="P144" s="126"/>
      <c r="Q144" s="126"/>
    </row>
    <row r="145" spans="1:191" s="373" customFormat="1" ht="22.5" x14ac:dyDescent="0.25">
      <c r="A145" s="742">
        <v>7</v>
      </c>
      <c r="B145" s="742"/>
      <c r="C145" s="814" t="s">
        <v>957</v>
      </c>
      <c r="D145" s="742" t="s">
        <v>16</v>
      </c>
      <c r="E145" s="128">
        <f t="shared" si="4"/>
        <v>512</v>
      </c>
      <c r="F145" s="742">
        <v>64</v>
      </c>
      <c r="G145" s="61"/>
      <c r="H145" s="123"/>
      <c r="I145" s="61"/>
      <c r="J145" s="125"/>
      <c r="K145" s="122"/>
      <c r="L145" s="122"/>
      <c r="M145" s="126"/>
      <c r="N145" s="126"/>
      <c r="O145" s="126"/>
      <c r="P145" s="126"/>
      <c r="Q145" s="126"/>
    </row>
    <row r="146" spans="1:191" s="373" customFormat="1" x14ac:dyDescent="0.25">
      <c r="A146" s="742">
        <v>8</v>
      </c>
      <c r="B146" s="742"/>
      <c r="C146" s="54" t="s">
        <v>674</v>
      </c>
      <c r="D146" s="742" t="s">
        <v>233</v>
      </c>
      <c r="E146" s="128">
        <f t="shared" si="4"/>
        <v>352</v>
      </c>
      <c r="F146" s="742">
        <v>44</v>
      </c>
      <c r="G146" s="61"/>
      <c r="H146" s="123"/>
      <c r="I146" s="61"/>
      <c r="J146" s="125"/>
      <c r="K146" s="122"/>
      <c r="L146" s="122"/>
      <c r="M146" s="126"/>
      <c r="N146" s="126"/>
      <c r="O146" s="126"/>
      <c r="P146" s="126"/>
      <c r="Q146" s="126"/>
    </row>
    <row r="147" spans="1:191" s="4" customFormat="1" x14ac:dyDescent="0.25">
      <c r="A147" s="742">
        <v>9</v>
      </c>
      <c r="B147" s="742"/>
      <c r="C147" s="54" t="s">
        <v>675</v>
      </c>
      <c r="D147" s="742" t="s">
        <v>233</v>
      </c>
      <c r="E147" s="128">
        <f t="shared" si="4"/>
        <v>48</v>
      </c>
      <c r="F147" s="742">
        <v>6</v>
      </c>
      <c r="G147" s="61"/>
      <c r="H147" s="123"/>
      <c r="I147" s="61"/>
      <c r="J147" s="125"/>
      <c r="K147" s="122"/>
      <c r="L147" s="122"/>
      <c r="M147" s="126"/>
      <c r="N147" s="126"/>
      <c r="O147" s="126"/>
      <c r="P147" s="126"/>
      <c r="Q147" s="126"/>
    </row>
    <row r="148" spans="1:191" x14ac:dyDescent="0.25">
      <c r="A148" s="742">
        <v>10</v>
      </c>
      <c r="B148" s="742"/>
      <c r="C148" s="381" t="s">
        <v>662</v>
      </c>
      <c r="D148" s="742" t="s">
        <v>233</v>
      </c>
      <c r="E148" s="128">
        <f t="shared" si="4"/>
        <v>16</v>
      </c>
      <c r="F148" s="742">
        <v>2</v>
      </c>
      <c r="G148" s="123"/>
      <c r="H148" s="123"/>
      <c r="I148" s="123"/>
      <c r="J148" s="124"/>
      <c r="K148" s="122"/>
      <c r="L148" s="122"/>
      <c r="M148" s="126"/>
      <c r="N148" s="126"/>
      <c r="O148" s="126"/>
      <c r="P148" s="126"/>
      <c r="Q148" s="126"/>
    </row>
    <row r="149" spans="1:191" s="373" customFormat="1" ht="22.5" x14ac:dyDescent="0.25">
      <c r="A149" s="742">
        <v>11</v>
      </c>
      <c r="B149" s="742"/>
      <c r="C149" s="54" t="s">
        <v>676</v>
      </c>
      <c r="D149" s="742" t="s">
        <v>233</v>
      </c>
      <c r="E149" s="128">
        <f t="shared" si="4"/>
        <v>48</v>
      </c>
      <c r="F149" s="742">
        <v>6</v>
      </c>
      <c r="G149" s="61"/>
      <c r="H149" s="123"/>
      <c r="I149" s="61"/>
      <c r="J149" s="125"/>
      <c r="K149" s="122"/>
      <c r="L149" s="122"/>
      <c r="M149" s="126"/>
      <c r="N149" s="126"/>
      <c r="O149" s="126"/>
      <c r="P149" s="126"/>
      <c r="Q149" s="126"/>
    </row>
    <row r="150" spans="1:191" s="373" customFormat="1" x14ac:dyDescent="0.25">
      <c r="A150" s="742">
        <v>12</v>
      </c>
      <c r="B150" s="742"/>
      <c r="C150" s="54" t="s">
        <v>657</v>
      </c>
      <c r="D150" s="742" t="s">
        <v>23</v>
      </c>
      <c r="E150" s="128">
        <f t="shared" si="4"/>
        <v>4</v>
      </c>
      <c r="F150" s="742">
        <v>0.5</v>
      </c>
      <c r="G150" s="61"/>
      <c r="H150" s="123"/>
      <c r="I150" s="61"/>
      <c r="J150" s="125"/>
      <c r="K150" s="122"/>
      <c r="L150" s="122"/>
      <c r="M150" s="126"/>
      <c r="N150" s="126"/>
      <c r="O150" s="126"/>
      <c r="P150" s="126"/>
      <c r="Q150" s="126"/>
    </row>
    <row r="151" spans="1:191" s="373" customFormat="1" x14ac:dyDescent="0.25">
      <c r="A151" s="742">
        <v>13</v>
      </c>
      <c r="B151" s="742"/>
      <c r="C151" s="54" t="s">
        <v>238</v>
      </c>
      <c r="D151" s="742" t="s">
        <v>68</v>
      </c>
      <c r="E151" s="128">
        <f t="shared" si="4"/>
        <v>8</v>
      </c>
      <c r="F151" s="742">
        <v>1</v>
      </c>
      <c r="G151" s="61"/>
      <c r="H151" s="123"/>
      <c r="I151" s="61"/>
      <c r="J151" s="125"/>
      <c r="K151" s="122"/>
      <c r="L151" s="122"/>
      <c r="M151" s="126"/>
      <c r="N151" s="126"/>
      <c r="O151" s="126"/>
      <c r="P151" s="126"/>
      <c r="Q151" s="126"/>
    </row>
    <row r="152" spans="1:191" s="373" customFormat="1" ht="22.5" x14ac:dyDescent="0.25">
      <c r="A152" s="742">
        <v>14</v>
      </c>
      <c r="B152" s="742"/>
      <c r="C152" s="54" t="s">
        <v>671</v>
      </c>
      <c r="D152" s="742" t="s">
        <v>16</v>
      </c>
      <c r="E152" s="128">
        <f t="shared" si="4"/>
        <v>32</v>
      </c>
      <c r="F152" s="742">
        <v>4</v>
      </c>
      <c r="G152" s="61"/>
      <c r="H152" s="123"/>
      <c r="I152" s="61"/>
      <c r="J152" s="125"/>
      <c r="K152" s="122"/>
      <c r="L152" s="122"/>
      <c r="M152" s="126"/>
      <c r="N152" s="126"/>
      <c r="O152" s="126"/>
      <c r="P152" s="126"/>
      <c r="Q152" s="126"/>
    </row>
    <row r="153" spans="1:191" s="3" customFormat="1" x14ac:dyDescent="0.25">
      <c r="A153" s="742">
        <v>15</v>
      </c>
      <c r="B153" s="742"/>
      <c r="C153" s="54" t="s">
        <v>677</v>
      </c>
      <c r="D153" s="742" t="s">
        <v>233</v>
      </c>
      <c r="E153" s="128">
        <f t="shared" si="4"/>
        <v>16</v>
      </c>
      <c r="F153" s="742">
        <v>2</v>
      </c>
      <c r="G153" s="61"/>
      <c r="H153" s="123"/>
      <c r="I153" s="61"/>
      <c r="J153" s="125"/>
      <c r="K153" s="122"/>
      <c r="L153" s="122"/>
      <c r="M153" s="126"/>
      <c r="N153" s="126"/>
      <c r="O153" s="126"/>
      <c r="P153" s="126"/>
      <c r="Q153" s="126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40"/>
      <c r="CO153" s="140"/>
      <c r="CP153" s="140"/>
      <c r="CQ153" s="140"/>
      <c r="CR153" s="140"/>
      <c r="CS153" s="140"/>
      <c r="CT153" s="140"/>
      <c r="CU153" s="140"/>
      <c r="CV153" s="140"/>
      <c r="CW153" s="140"/>
      <c r="CX153" s="140"/>
      <c r="CY153" s="140"/>
      <c r="CZ153" s="140"/>
      <c r="DA153" s="140"/>
      <c r="DB153" s="140"/>
      <c r="DC153" s="140"/>
      <c r="DD153" s="140"/>
      <c r="DE153" s="140"/>
      <c r="DF153" s="140"/>
      <c r="DG153" s="140"/>
      <c r="DH153" s="140"/>
      <c r="DI153" s="140"/>
      <c r="DJ153" s="140"/>
      <c r="DK153" s="140"/>
      <c r="DL153" s="140"/>
      <c r="DM153" s="140"/>
      <c r="DN153" s="140"/>
      <c r="DO153" s="140"/>
      <c r="DP153" s="140"/>
      <c r="DQ153" s="140"/>
      <c r="DR153" s="140"/>
      <c r="DS153" s="140"/>
      <c r="DT153" s="140"/>
      <c r="DU153" s="140"/>
      <c r="DV153" s="140"/>
      <c r="DW153" s="140"/>
      <c r="DX153" s="140"/>
      <c r="DY153" s="140"/>
      <c r="DZ153" s="140"/>
      <c r="EA153" s="140"/>
      <c r="EB153" s="140"/>
      <c r="EC153" s="140"/>
      <c r="ED153" s="140"/>
      <c r="EE153" s="140"/>
      <c r="EF153" s="140"/>
      <c r="EG153" s="140"/>
      <c r="EH153" s="140"/>
      <c r="EI153" s="140"/>
      <c r="EJ153" s="140"/>
      <c r="EK153" s="140"/>
      <c r="EL153" s="140"/>
      <c r="EM153" s="140"/>
      <c r="EN153" s="140"/>
      <c r="EO153" s="140"/>
      <c r="EP153" s="140"/>
      <c r="EQ153" s="140"/>
      <c r="ER153" s="140"/>
      <c r="ES153" s="140"/>
      <c r="ET153" s="140"/>
      <c r="EU153" s="140"/>
      <c r="EV153" s="140"/>
      <c r="EW153" s="140"/>
      <c r="EX153" s="140"/>
      <c r="EY153" s="140"/>
      <c r="EZ153" s="140"/>
      <c r="FA153" s="140"/>
      <c r="FB153" s="140"/>
      <c r="FC153" s="140"/>
      <c r="FD153" s="140"/>
      <c r="FE153" s="140"/>
      <c r="FF153" s="140"/>
      <c r="FG153" s="140"/>
      <c r="FH153" s="140"/>
      <c r="FI153" s="140"/>
      <c r="FJ153" s="140"/>
      <c r="FK153" s="140"/>
      <c r="FL153" s="140"/>
      <c r="FM153" s="140"/>
      <c r="FN153" s="140"/>
      <c r="FO153" s="140"/>
      <c r="FP153" s="140"/>
      <c r="FQ153" s="140"/>
      <c r="FR153" s="140"/>
      <c r="FS153" s="140"/>
      <c r="FT153" s="140"/>
      <c r="FU153" s="140"/>
      <c r="FV153" s="140"/>
      <c r="FW153" s="140"/>
      <c r="FX153" s="140"/>
      <c r="FY153" s="140"/>
      <c r="FZ153" s="140"/>
      <c r="GA153" s="140"/>
      <c r="GB153" s="140"/>
      <c r="GC153" s="140"/>
      <c r="GD153" s="140"/>
      <c r="GE153" s="140"/>
      <c r="GF153" s="140"/>
      <c r="GG153" s="140"/>
      <c r="GH153" s="140"/>
      <c r="GI153" s="140"/>
    </row>
    <row r="154" spans="1:191" s="3" customFormat="1" x14ac:dyDescent="0.25">
      <c r="A154" s="742">
        <v>16</v>
      </c>
      <c r="B154" s="742"/>
      <c r="C154" s="54" t="s">
        <v>658</v>
      </c>
      <c r="D154" s="742" t="s">
        <v>68</v>
      </c>
      <c r="E154" s="128">
        <f t="shared" si="4"/>
        <v>8</v>
      </c>
      <c r="F154" s="742">
        <v>1</v>
      </c>
      <c r="G154" s="61"/>
      <c r="H154" s="123"/>
      <c r="I154" s="61"/>
      <c r="J154" s="125"/>
      <c r="K154" s="122"/>
      <c r="L154" s="122"/>
      <c r="M154" s="126"/>
      <c r="N154" s="126"/>
      <c r="O154" s="126"/>
      <c r="P154" s="126"/>
      <c r="Q154" s="126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40"/>
      <c r="BJ154" s="140"/>
      <c r="BK154" s="140"/>
      <c r="BL154" s="140"/>
      <c r="BM154" s="140"/>
      <c r="BN154" s="140"/>
      <c r="BO154" s="140"/>
      <c r="BP154" s="140"/>
      <c r="BQ154" s="140"/>
      <c r="BR154" s="140"/>
      <c r="BS154" s="140"/>
      <c r="BT154" s="140"/>
      <c r="BU154" s="140"/>
      <c r="BV154" s="140"/>
      <c r="BW154" s="140"/>
      <c r="BX154" s="140"/>
      <c r="BY154" s="140"/>
      <c r="BZ154" s="140"/>
      <c r="CA154" s="140"/>
      <c r="CB154" s="140"/>
      <c r="CC154" s="140"/>
      <c r="CD154" s="140"/>
      <c r="CE154" s="140"/>
      <c r="CF154" s="140"/>
      <c r="CG154" s="140"/>
      <c r="CH154" s="140"/>
      <c r="CI154" s="140"/>
      <c r="CJ154" s="140"/>
      <c r="CK154" s="140"/>
      <c r="CL154" s="140"/>
      <c r="CM154" s="140"/>
      <c r="CN154" s="140"/>
      <c r="CO154" s="140"/>
      <c r="CP154" s="140"/>
      <c r="CQ154" s="140"/>
      <c r="CR154" s="140"/>
      <c r="CS154" s="140"/>
      <c r="CT154" s="140"/>
      <c r="CU154" s="140"/>
      <c r="CV154" s="140"/>
      <c r="CW154" s="140"/>
      <c r="CX154" s="140"/>
      <c r="CY154" s="140"/>
      <c r="CZ154" s="140"/>
      <c r="DA154" s="140"/>
      <c r="DB154" s="140"/>
      <c r="DC154" s="140"/>
      <c r="DD154" s="140"/>
      <c r="DE154" s="140"/>
      <c r="DF154" s="140"/>
      <c r="DG154" s="140"/>
      <c r="DH154" s="140"/>
      <c r="DI154" s="140"/>
      <c r="DJ154" s="140"/>
      <c r="DK154" s="140"/>
      <c r="DL154" s="140"/>
      <c r="DM154" s="140"/>
      <c r="DN154" s="140"/>
      <c r="DO154" s="140"/>
      <c r="DP154" s="140"/>
      <c r="DQ154" s="140"/>
      <c r="DR154" s="140"/>
      <c r="DS154" s="140"/>
      <c r="DT154" s="140"/>
      <c r="DU154" s="140"/>
      <c r="DV154" s="140"/>
      <c r="DW154" s="140"/>
      <c r="DX154" s="140"/>
      <c r="DY154" s="140"/>
      <c r="DZ154" s="140"/>
      <c r="EA154" s="140"/>
      <c r="EB154" s="140"/>
      <c r="EC154" s="140"/>
      <c r="ED154" s="140"/>
      <c r="EE154" s="140"/>
      <c r="EF154" s="140"/>
      <c r="EG154" s="140"/>
      <c r="EH154" s="140"/>
      <c r="EI154" s="140"/>
      <c r="EJ154" s="140"/>
      <c r="EK154" s="140"/>
      <c r="EL154" s="140"/>
      <c r="EM154" s="140"/>
      <c r="EN154" s="140"/>
      <c r="EO154" s="140"/>
      <c r="EP154" s="140"/>
      <c r="EQ154" s="140"/>
      <c r="ER154" s="140"/>
      <c r="ES154" s="140"/>
      <c r="ET154" s="140"/>
      <c r="EU154" s="140"/>
      <c r="EV154" s="140"/>
      <c r="EW154" s="140"/>
      <c r="EX154" s="140"/>
      <c r="EY154" s="140"/>
      <c r="EZ154" s="140"/>
      <c r="FA154" s="140"/>
      <c r="FB154" s="140"/>
      <c r="FC154" s="140"/>
      <c r="FD154" s="140"/>
      <c r="FE154" s="140"/>
      <c r="FF154" s="140"/>
      <c r="FG154" s="140"/>
      <c r="FH154" s="140"/>
      <c r="FI154" s="140"/>
      <c r="FJ154" s="140"/>
      <c r="FK154" s="140"/>
      <c r="FL154" s="140"/>
      <c r="FM154" s="140"/>
      <c r="FN154" s="140"/>
      <c r="FO154" s="140"/>
      <c r="FP154" s="140"/>
      <c r="FQ154" s="140"/>
      <c r="FR154" s="140"/>
      <c r="FS154" s="140"/>
      <c r="FT154" s="140"/>
      <c r="FU154" s="140"/>
      <c r="FV154" s="140"/>
      <c r="FW154" s="140"/>
      <c r="FX154" s="140"/>
      <c r="FY154" s="140"/>
      <c r="FZ154" s="140"/>
      <c r="GA154" s="140"/>
      <c r="GB154" s="140"/>
      <c r="GC154" s="140"/>
      <c r="GD154" s="140"/>
      <c r="GE154" s="140"/>
      <c r="GF154" s="140"/>
      <c r="GG154" s="140"/>
      <c r="GH154" s="140"/>
      <c r="GI154" s="140"/>
    </row>
    <row r="155" spans="1:191" s="110" customFormat="1" ht="22.5" x14ac:dyDescent="0.25">
      <c r="A155" s="742">
        <v>17</v>
      </c>
      <c r="B155" s="742"/>
      <c r="C155" s="54" t="s">
        <v>678</v>
      </c>
      <c r="D155" s="742" t="s">
        <v>68</v>
      </c>
      <c r="E155" s="128">
        <f t="shared" si="4"/>
        <v>8</v>
      </c>
      <c r="F155" s="742">
        <v>1</v>
      </c>
      <c r="G155" s="61"/>
      <c r="H155" s="123"/>
      <c r="I155" s="61"/>
      <c r="J155" s="125"/>
      <c r="K155" s="122"/>
      <c r="L155" s="122"/>
      <c r="M155" s="126"/>
      <c r="N155" s="126"/>
      <c r="O155" s="126"/>
      <c r="P155" s="126"/>
      <c r="Q155" s="126"/>
    </row>
    <row r="156" spans="1:191" s="88" customFormat="1" x14ac:dyDescent="0.25">
      <c r="A156" s="742"/>
      <c r="B156" s="742"/>
      <c r="C156" s="565" t="s">
        <v>679</v>
      </c>
      <c r="D156" s="565"/>
      <c r="E156" s="726"/>
      <c r="F156" s="565"/>
      <c r="G156" s="564"/>
      <c r="H156" s="107"/>
      <c r="I156" s="107"/>
      <c r="J156" s="107"/>
      <c r="K156" s="107"/>
      <c r="L156" s="107"/>
      <c r="M156" s="107"/>
      <c r="N156" s="107"/>
      <c r="O156" s="564"/>
      <c r="P156" s="107"/>
      <c r="Q156" s="564"/>
    </row>
    <row r="157" spans="1:191" s="3" customFormat="1" x14ac:dyDescent="0.25">
      <c r="A157" s="742"/>
      <c r="B157" s="742"/>
      <c r="C157" s="759" t="s">
        <v>757</v>
      </c>
      <c r="D157" s="759"/>
      <c r="E157" s="394"/>
      <c r="F157" s="742"/>
      <c r="G157" s="565"/>
      <c r="H157" s="565"/>
      <c r="I157" s="565"/>
      <c r="J157" s="565"/>
      <c r="K157" s="565"/>
      <c r="L157" s="565"/>
      <c r="M157" s="565"/>
      <c r="N157" s="565"/>
      <c r="O157" s="565"/>
      <c r="P157" s="565"/>
      <c r="Q157" s="565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R157" s="140"/>
      <c r="BS157" s="140"/>
      <c r="BT157" s="140"/>
      <c r="BU157" s="140"/>
      <c r="BV157" s="140"/>
      <c r="BW157" s="140"/>
      <c r="BX157" s="140"/>
      <c r="BY157" s="140"/>
      <c r="BZ157" s="140"/>
      <c r="CA157" s="140"/>
      <c r="CB157" s="140"/>
      <c r="CC157" s="140"/>
      <c r="CD157" s="140"/>
      <c r="CE157" s="140"/>
      <c r="CF157" s="140"/>
      <c r="CG157" s="140"/>
      <c r="CH157" s="140"/>
      <c r="CI157" s="140"/>
      <c r="CJ157" s="140"/>
      <c r="CK157" s="140"/>
      <c r="CL157" s="140"/>
      <c r="CM157" s="140"/>
      <c r="CN157" s="140"/>
      <c r="CO157" s="140"/>
      <c r="CP157" s="140"/>
      <c r="CQ157" s="140"/>
      <c r="CR157" s="140"/>
      <c r="CS157" s="140"/>
      <c r="CT157" s="140"/>
      <c r="CU157" s="140"/>
      <c r="CV157" s="140"/>
      <c r="CW157" s="140"/>
      <c r="CX157" s="140"/>
      <c r="CY157" s="140"/>
      <c r="CZ157" s="140"/>
      <c r="DA157" s="140"/>
      <c r="DB157" s="140"/>
      <c r="DC157" s="140"/>
      <c r="DD157" s="140"/>
      <c r="DE157" s="140"/>
      <c r="DF157" s="140"/>
      <c r="DG157" s="140"/>
      <c r="DH157" s="140"/>
      <c r="DI157" s="140"/>
      <c r="DJ157" s="140"/>
      <c r="DK157" s="140"/>
      <c r="DL157" s="140"/>
      <c r="DM157" s="140"/>
      <c r="DN157" s="140"/>
      <c r="DO157" s="140"/>
      <c r="DP157" s="140"/>
      <c r="DQ157" s="140"/>
      <c r="DR157" s="140"/>
      <c r="DS157" s="140"/>
      <c r="DT157" s="140"/>
      <c r="DU157" s="140"/>
      <c r="DV157" s="140"/>
      <c r="DW157" s="140"/>
      <c r="DX157" s="140"/>
      <c r="DY157" s="140"/>
      <c r="DZ157" s="140"/>
      <c r="EA157" s="140"/>
      <c r="EB157" s="140"/>
      <c r="EC157" s="140"/>
      <c r="ED157" s="140"/>
      <c r="EE157" s="140"/>
      <c r="EF157" s="140"/>
      <c r="EG157" s="140"/>
      <c r="EH157" s="140"/>
      <c r="EI157" s="140"/>
      <c r="EJ157" s="140"/>
      <c r="EK157" s="140"/>
      <c r="EL157" s="140"/>
      <c r="EM157" s="140"/>
      <c r="EN157" s="140"/>
      <c r="EO157" s="140"/>
      <c r="EP157" s="140"/>
      <c r="EQ157" s="140"/>
      <c r="ER157" s="140"/>
      <c r="ES157" s="140"/>
      <c r="ET157" s="140"/>
      <c r="EU157" s="140"/>
      <c r="EV157" s="140"/>
      <c r="EW157" s="140"/>
      <c r="EX157" s="140"/>
      <c r="EY157" s="140"/>
      <c r="EZ157" s="140"/>
      <c r="FA157" s="140"/>
      <c r="FB157" s="140"/>
      <c r="FC157" s="140"/>
      <c r="FD157" s="140"/>
      <c r="FE157" s="140"/>
      <c r="FF157" s="140"/>
      <c r="FG157" s="140"/>
      <c r="FH157" s="140"/>
      <c r="FI157" s="140"/>
      <c r="FJ157" s="140"/>
      <c r="FK157" s="140"/>
      <c r="FL157" s="140"/>
      <c r="FM157" s="140"/>
      <c r="FN157" s="140"/>
      <c r="FO157" s="140"/>
      <c r="FP157" s="140"/>
      <c r="FQ157" s="140"/>
      <c r="FR157" s="140"/>
      <c r="FS157" s="140"/>
      <c r="FT157" s="140"/>
      <c r="FU157" s="140"/>
      <c r="FV157" s="140"/>
      <c r="FW157" s="140"/>
      <c r="FX157" s="140"/>
      <c r="FY157" s="140"/>
      <c r="FZ157" s="140"/>
      <c r="GA157" s="140"/>
      <c r="GB157" s="140"/>
      <c r="GC157" s="140"/>
      <c r="GD157" s="140"/>
      <c r="GE157" s="140"/>
      <c r="GF157" s="140"/>
      <c r="GG157" s="140"/>
      <c r="GH157" s="140"/>
      <c r="GI157" s="140"/>
    </row>
    <row r="158" spans="1:191" ht="33.75" x14ac:dyDescent="0.25">
      <c r="A158" s="742">
        <v>4</v>
      </c>
      <c r="B158" s="742"/>
      <c r="C158" s="809" t="s">
        <v>919</v>
      </c>
      <c r="D158" s="128" t="s">
        <v>68</v>
      </c>
      <c r="E158" s="128">
        <f>16*F158</f>
        <v>48</v>
      </c>
      <c r="F158" s="128">
        <v>3</v>
      </c>
      <c r="G158" s="61"/>
      <c r="H158" s="123"/>
      <c r="I158" s="61"/>
      <c r="J158" s="125"/>
      <c r="K158" s="122"/>
      <c r="L158" s="122"/>
      <c r="M158" s="126"/>
      <c r="N158" s="126"/>
      <c r="O158" s="126"/>
      <c r="P158" s="126"/>
      <c r="Q158" s="126"/>
    </row>
    <row r="159" spans="1:191" ht="33.75" x14ac:dyDescent="0.25">
      <c r="A159" s="742">
        <v>5</v>
      </c>
      <c r="B159" s="742"/>
      <c r="C159" s="808" t="s">
        <v>956</v>
      </c>
      <c r="D159" s="742" t="s">
        <v>233</v>
      </c>
      <c r="E159" s="128">
        <f t="shared" ref="E159:E170" si="5">16*F159</f>
        <v>48</v>
      </c>
      <c r="F159" s="742">
        <v>3</v>
      </c>
      <c r="G159" s="61"/>
      <c r="H159" s="123"/>
      <c r="I159" s="61"/>
      <c r="J159" s="125"/>
      <c r="K159" s="122"/>
      <c r="L159" s="122"/>
      <c r="M159" s="126"/>
      <c r="N159" s="126"/>
      <c r="O159" s="126"/>
      <c r="P159" s="126"/>
      <c r="Q159" s="126"/>
    </row>
    <row r="160" spans="1:191" ht="22.5" x14ac:dyDescent="0.25">
      <c r="A160" s="742">
        <v>6</v>
      </c>
      <c r="B160" s="742"/>
      <c r="C160" s="814" t="s">
        <v>957</v>
      </c>
      <c r="D160" s="742" t="s">
        <v>16</v>
      </c>
      <c r="E160" s="128">
        <f t="shared" si="5"/>
        <v>832</v>
      </c>
      <c r="F160" s="742">
        <v>52</v>
      </c>
      <c r="G160" s="61"/>
      <c r="H160" s="123"/>
      <c r="I160" s="61"/>
      <c r="J160" s="125"/>
      <c r="K160" s="122"/>
      <c r="L160" s="122"/>
      <c r="M160" s="126"/>
      <c r="N160" s="126"/>
      <c r="O160" s="126"/>
      <c r="P160" s="126"/>
      <c r="Q160" s="126"/>
    </row>
    <row r="161" spans="1:17" x14ac:dyDescent="0.25">
      <c r="A161" s="742">
        <v>7</v>
      </c>
      <c r="B161" s="742"/>
      <c r="C161" s="54" t="s">
        <v>674</v>
      </c>
      <c r="D161" s="742" t="s">
        <v>233</v>
      </c>
      <c r="E161" s="128">
        <f t="shared" si="5"/>
        <v>384</v>
      </c>
      <c r="F161" s="742">
        <v>24</v>
      </c>
      <c r="G161" s="61"/>
      <c r="H161" s="123"/>
      <c r="I161" s="61"/>
      <c r="J161" s="125"/>
      <c r="K161" s="122"/>
      <c r="L161" s="122"/>
      <c r="M161" s="126"/>
      <c r="N161" s="126"/>
      <c r="O161" s="126"/>
      <c r="P161" s="126"/>
      <c r="Q161" s="126"/>
    </row>
    <row r="162" spans="1:17" x14ac:dyDescent="0.25">
      <c r="A162" s="742">
        <v>8</v>
      </c>
      <c r="B162" s="742"/>
      <c r="C162" s="54" t="s">
        <v>675</v>
      </c>
      <c r="D162" s="742" t="s">
        <v>233</v>
      </c>
      <c r="E162" s="128">
        <f t="shared" si="5"/>
        <v>96</v>
      </c>
      <c r="F162" s="742">
        <v>6</v>
      </c>
      <c r="G162" s="61"/>
      <c r="H162" s="123"/>
      <c r="I162" s="61"/>
      <c r="J162" s="125"/>
      <c r="K162" s="122"/>
      <c r="L162" s="122"/>
      <c r="M162" s="126"/>
      <c r="N162" s="126"/>
      <c r="O162" s="126"/>
      <c r="P162" s="126"/>
      <c r="Q162" s="126"/>
    </row>
    <row r="163" spans="1:17" x14ac:dyDescent="0.25">
      <c r="A163" s="742">
        <v>9</v>
      </c>
      <c r="B163" s="742"/>
      <c r="C163" s="381" t="s">
        <v>662</v>
      </c>
      <c r="D163" s="742" t="s">
        <v>233</v>
      </c>
      <c r="E163" s="128">
        <f t="shared" si="5"/>
        <v>32</v>
      </c>
      <c r="F163" s="742">
        <v>2</v>
      </c>
      <c r="G163" s="61"/>
      <c r="H163" s="123"/>
      <c r="I163" s="61"/>
      <c r="J163" s="125"/>
      <c r="K163" s="122"/>
      <c r="L163" s="122"/>
      <c r="M163" s="126"/>
      <c r="N163" s="126"/>
      <c r="O163" s="126"/>
      <c r="P163" s="126"/>
      <c r="Q163" s="126"/>
    </row>
    <row r="164" spans="1:17" ht="22.5" x14ac:dyDescent="0.25">
      <c r="A164" s="742">
        <v>10</v>
      </c>
      <c r="B164" s="742"/>
      <c r="C164" s="54" t="s">
        <v>676</v>
      </c>
      <c r="D164" s="742" t="s">
        <v>233</v>
      </c>
      <c r="E164" s="128">
        <f t="shared" si="5"/>
        <v>64</v>
      </c>
      <c r="F164" s="742">
        <v>4</v>
      </c>
      <c r="G164" s="123"/>
      <c r="H164" s="123"/>
      <c r="I164" s="123"/>
      <c r="J164" s="124"/>
      <c r="K164" s="122"/>
      <c r="L164" s="122"/>
      <c r="M164" s="126"/>
      <c r="N164" s="126"/>
      <c r="O164" s="126"/>
      <c r="P164" s="126"/>
      <c r="Q164" s="126"/>
    </row>
    <row r="165" spans="1:17" x14ac:dyDescent="0.25">
      <c r="A165" s="742">
        <v>11</v>
      </c>
      <c r="B165" s="742"/>
      <c r="C165" s="54" t="s">
        <v>657</v>
      </c>
      <c r="D165" s="742" t="s">
        <v>23</v>
      </c>
      <c r="E165" s="128">
        <f t="shared" si="5"/>
        <v>4.8</v>
      </c>
      <c r="F165" s="742">
        <v>0.3</v>
      </c>
      <c r="G165" s="61"/>
      <c r="H165" s="123"/>
      <c r="I165" s="61"/>
      <c r="J165" s="125"/>
      <c r="K165" s="122"/>
      <c r="L165" s="122"/>
      <c r="M165" s="126"/>
      <c r="N165" s="126"/>
      <c r="O165" s="126"/>
      <c r="P165" s="126"/>
      <c r="Q165" s="126"/>
    </row>
    <row r="166" spans="1:17" x14ac:dyDescent="0.25">
      <c r="A166" s="742">
        <v>12</v>
      </c>
      <c r="B166" s="742"/>
      <c r="C166" s="54" t="s">
        <v>238</v>
      </c>
      <c r="D166" s="742" t="s">
        <v>68</v>
      </c>
      <c r="E166" s="128">
        <f t="shared" si="5"/>
        <v>16</v>
      </c>
      <c r="F166" s="742">
        <v>1</v>
      </c>
      <c r="G166" s="61"/>
      <c r="H166" s="123"/>
      <c r="I166" s="61"/>
      <c r="J166" s="125"/>
      <c r="K166" s="122"/>
      <c r="L166" s="122"/>
      <c r="M166" s="126"/>
      <c r="N166" s="126"/>
      <c r="O166" s="126"/>
      <c r="P166" s="126"/>
      <c r="Q166" s="126"/>
    </row>
    <row r="167" spans="1:17" ht="22.5" x14ac:dyDescent="0.25">
      <c r="A167" s="742">
        <v>13</v>
      </c>
      <c r="B167" s="742"/>
      <c r="C167" s="54" t="s">
        <v>671</v>
      </c>
      <c r="D167" s="742" t="s">
        <v>16</v>
      </c>
      <c r="E167" s="128">
        <f t="shared" si="5"/>
        <v>32</v>
      </c>
      <c r="F167" s="742">
        <v>2</v>
      </c>
      <c r="G167" s="61"/>
      <c r="H167" s="123"/>
      <c r="I167" s="61"/>
      <c r="J167" s="125"/>
      <c r="K167" s="122"/>
      <c r="L167" s="122"/>
      <c r="M167" s="126"/>
      <c r="N167" s="126"/>
      <c r="O167" s="126"/>
      <c r="P167" s="126"/>
      <c r="Q167" s="126"/>
    </row>
    <row r="168" spans="1:17" x14ac:dyDescent="0.25">
      <c r="A168" s="742">
        <v>14</v>
      </c>
      <c r="B168" s="742"/>
      <c r="C168" s="54" t="s">
        <v>677</v>
      </c>
      <c r="D168" s="742" t="s">
        <v>233</v>
      </c>
      <c r="E168" s="128">
        <f t="shared" si="5"/>
        <v>16</v>
      </c>
      <c r="F168" s="742">
        <v>1</v>
      </c>
      <c r="G168" s="61"/>
      <c r="H168" s="123"/>
      <c r="I168" s="61"/>
      <c r="J168" s="125"/>
      <c r="K168" s="122"/>
      <c r="L168" s="122"/>
      <c r="M168" s="126"/>
      <c r="N168" s="126"/>
      <c r="O168" s="126"/>
      <c r="P168" s="126"/>
      <c r="Q168" s="126"/>
    </row>
    <row r="169" spans="1:17" x14ac:dyDescent="0.25">
      <c r="A169" s="742">
        <v>15</v>
      </c>
      <c r="B169" s="742"/>
      <c r="C169" s="54" t="s">
        <v>658</v>
      </c>
      <c r="D169" s="742" t="s">
        <v>68</v>
      </c>
      <c r="E169" s="128">
        <f t="shared" si="5"/>
        <v>16</v>
      </c>
      <c r="F169" s="742">
        <v>1</v>
      </c>
      <c r="G169" s="61"/>
      <c r="H169" s="123"/>
      <c r="I169" s="61"/>
      <c r="J169" s="125"/>
      <c r="K169" s="122"/>
      <c r="L169" s="122"/>
      <c r="M169" s="126"/>
      <c r="N169" s="126"/>
      <c r="O169" s="126"/>
      <c r="P169" s="126"/>
      <c r="Q169" s="126"/>
    </row>
    <row r="170" spans="1:17" ht="22.5" x14ac:dyDescent="0.25">
      <c r="A170" s="742">
        <v>16</v>
      </c>
      <c r="B170" s="742"/>
      <c r="C170" s="54" t="s">
        <v>665</v>
      </c>
      <c r="D170" s="742" t="s">
        <v>68</v>
      </c>
      <c r="E170" s="128">
        <f t="shared" si="5"/>
        <v>16</v>
      </c>
      <c r="F170" s="742">
        <v>1</v>
      </c>
      <c r="G170" s="61"/>
      <c r="H170" s="123"/>
      <c r="I170" s="61"/>
      <c r="J170" s="125"/>
      <c r="K170" s="122"/>
      <c r="L170" s="122"/>
      <c r="M170" s="126"/>
      <c r="N170" s="126"/>
      <c r="O170" s="126"/>
      <c r="P170" s="126"/>
      <c r="Q170" s="126"/>
    </row>
    <row r="171" spans="1:17" x14ac:dyDescent="0.25">
      <c r="A171" s="742"/>
      <c r="B171" s="742"/>
      <c r="C171" s="565" t="s">
        <v>680</v>
      </c>
      <c r="D171" s="565"/>
      <c r="E171" s="128"/>
      <c r="F171" s="565"/>
      <c r="G171" s="564"/>
      <c r="H171" s="107"/>
      <c r="I171" s="107"/>
      <c r="J171" s="107"/>
      <c r="K171" s="107"/>
      <c r="L171" s="107"/>
      <c r="M171" s="107"/>
      <c r="N171" s="107"/>
      <c r="O171" s="564"/>
      <c r="P171" s="107"/>
      <c r="Q171" s="564"/>
    </row>
    <row r="172" spans="1:17" ht="15" x14ac:dyDescent="0.25">
      <c r="A172" s="742"/>
      <c r="B172" s="742"/>
      <c r="C172" s="759" t="s">
        <v>758</v>
      </c>
      <c r="D172" s="760"/>
      <c r="E172" s="128"/>
      <c r="F172" s="742"/>
      <c r="G172" s="565"/>
      <c r="H172" s="565"/>
      <c r="I172" s="565"/>
      <c r="J172" s="565"/>
      <c r="K172" s="565"/>
      <c r="L172" s="565"/>
      <c r="M172" s="565"/>
      <c r="N172" s="565"/>
      <c r="O172" s="565"/>
      <c r="P172" s="565"/>
      <c r="Q172" s="565"/>
    </row>
    <row r="173" spans="1:17" ht="33.75" x14ac:dyDescent="0.25">
      <c r="A173" s="742">
        <v>5</v>
      </c>
      <c r="B173" s="742"/>
      <c r="C173" s="809" t="s">
        <v>919</v>
      </c>
      <c r="D173" s="128" t="s">
        <v>68</v>
      </c>
      <c r="E173" s="128">
        <f t="shared" ref="E173:E185" si="6">2*F173</f>
        <v>10</v>
      </c>
      <c r="F173" s="742">
        <v>5</v>
      </c>
      <c r="G173" s="61"/>
      <c r="H173" s="123"/>
      <c r="I173" s="61"/>
      <c r="J173" s="125"/>
      <c r="K173" s="122"/>
      <c r="L173" s="122"/>
      <c r="M173" s="126"/>
      <c r="N173" s="126"/>
      <c r="O173" s="126"/>
      <c r="P173" s="126"/>
      <c r="Q173" s="126"/>
    </row>
    <row r="174" spans="1:17" ht="33.75" x14ac:dyDescent="0.25">
      <c r="A174" s="742">
        <v>6</v>
      </c>
      <c r="B174" s="742"/>
      <c r="C174" s="808" t="s">
        <v>956</v>
      </c>
      <c r="D174" s="742" t="s">
        <v>233</v>
      </c>
      <c r="E174" s="128">
        <f t="shared" si="6"/>
        <v>10</v>
      </c>
      <c r="F174" s="742">
        <v>5</v>
      </c>
      <c r="G174" s="61"/>
      <c r="H174" s="123"/>
      <c r="I174" s="61"/>
      <c r="J174" s="125"/>
      <c r="K174" s="122"/>
      <c r="L174" s="122"/>
      <c r="M174" s="126"/>
      <c r="N174" s="126"/>
      <c r="O174" s="126"/>
      <c r="P174" s="126"/>
      <c r="Q174" s="126"/>
    </row>
    <row r="175" spans="1:17" ht="22.5" x14ac:dyDescent="0.25">
      <c r="A175" s="742">
        <v>7</v>
      </c>
      <c r="B175" s="742"/>
      <c r="C175" s="814" t="s">
        <v>957</v>
      </c>
      <c r="D175" s="742" t="s">
        <v>16</v>
      </c>
      <c r="E175" s="128">
        <f t="shared" si="6"/>
        <v>156</v>
      </c>
      <c r="F175" s="742">
        <v>78</v>
      </c>
      <c r="G175" s="61"/>
      <c r="H175" s="123"/>
      <c r="I175" s="61"/>
      <c r="J175" s="125"/>
      <c r="K175" s="122"/>
      <c r="L175" s="122"/>
      <c r="M175" s="126"/>
      <c r="N175" s="126"/>
      <c r="O175" s="126"/>
      <c r="P175" s="126"/>
      <c r="Q175" s="126"/>
    </row>
    <row r="176" spans="1:17" x14ac:dyDescent="0.25">
      <c r="A176" s="742">
        <v>8</v>
      </c>
      <c r="B176" s="742"/>
      <c r="C176" s="54" t="s">
        <v>674</v>
      </c>
      <c r="D176" s="742" t="s">
        <v>233</v>
      </c>
      <c r="E176" s="128">
        <f t="shared" si="6"/>
        <v>88</v>
      </c>
      <c r="F176" s="742">
        <v>44</v>
      </c>
      <c r="G176" s="61"/>
      <c r="H176" s="123"/>
      <c r="I176" s="61"/>
      <c r="J176" s="125"/>
      <c r="K176" s="122"/>
      <c r="L176" s="122"/>
      <c r="M176" s="126"/>
      <c r="N176" s="126"/>
      <c r="O176" s="126"/>
      <c r="P176" s="126"/>
      <c r="Q176" s="126"/>
    </row>
    <row r="177" spans="1:17" x14ac:dyDescent="0.25">
      <c r="A177" s="742">
        <v>9</v>
      </c>
      <c r="B177" s="742"/>
      <c r="C177" s="54" t="s">
        <v>675</v>
      </c>
      <c r="D177" s="742" t="s">
        <v>233</v>
      </c>
      <c r="E177" s="128">
        <f t="shared" si="6"/>
        <v>8</v>
      </c>
      <c r="F177" s="742">
        <v>4</v>
      </c>
      <c r="G177" s="61"/>
      <c r="H177" s="123"/>
      <c r="I177" s="61"/>
      <c r="J177" s="125"/>
      <c r="K177" s="122"/>
      <c r="L177" s="122"/>
      <c r="M177" s="126"/>
      <c r="N177" s="126"/>
      <c r="O177" s="126"/>
      <c r="P177" s="126"/>
      <c r="Q177" s="126"/>
    </row>
    <row r="178" spans="1:17" x14ac:dyDescent="0.25">
      <c r="A178" s="742">
        <v>10</v>
      </c>
      <c r="B178" s="742"/>
      <c r="C178" s="381" t="s">
        <v>662</v>
      </c>
      <c r="D178" s="742" t="s">
        <v>233</v>
      </c>
      <c r="E178" s="128">
        <f t="shared" si="6"/>
        <v>4</v>
      </c>
      <c r="F178" s="742">
        <v>2</v>
      </c>
      <c r="G178" s="123"/>
      <c r="H178" s="123"/>
      <c r="I178" s="123"/>
      <c r="J178" s="124"/>
      <c r="K178" s="122"/>
      <c r="L178" s="122"/>
      <c r="M178" s="126"/>
      <c r="N178" s="126"/>
      <c r="O178" s="126"/>
      <c r="P178" s="126"/>
      <c r="Q178" s="126"/>
    </row>
    <row r="179" spans="1:17" ht="22.5" x14ac:dyDescent="0.25">
      <c r="A179" s="742">
        <v>11</v>
      </c>
      <c r="B179" s="742"/>
      <c r="C179" s="54" t="s">
        <v>676</v>
      </c>
      <c r="D179" s="742" t="s">
        <v>233</v>
      </c>
      <c r="E179" s="128">
        <f t="shared" si="6"/>
        <v>16</v>
      </c>
      <c r="F179" s="742">
        <v>8</v>
      </c>
      <c r="G179" s="61"/>
      <c r="H179" s="123"/>
      <c r="I179" s="61"/>
      <c r="J179" s="125"/>
      <c r="K179" s="122"/>
      <c r="L179" s="122"/>
      <c r="M179" s="126"/>
      <c r="N179" s="126"/>
      <c r="O179" s="126"/>
      <c r="P179" s="126"/>
      <c r="Q179" s="126"/>
    </row>
    <row r="180" spans="1:17" x14ac:dyDescent="0.25">
      <c r="A180" s="742">
        <v>12</v>
      </c>
      <c r="B180" s="742"/>
      <c r="C180" s="54" t="s">
        <v>657</v>
      </c>
      <c r="D180" s="742" t="s">
        <v>23</v>
      </c>
      <c r="E180" s="128">
        <f t="shared" si="6"/>
        <v>1</v>
      </c>
      <c r="F180" s="742">
        <v>0.5</v>
      </c>
      <c r="G180" s="61"/>
      <c r="H180" s="123"/>
      <c r="I180" s="61"/>
      <c r="J180" s="125"/>
      <c r="K180" s="122"/>
      <c r="L180" s="122"/>
      <c r="M180" s="126"/>
      <c r="N180" s="126"/>
      <c r="O180" s="126"/>
      <c r="P180" s="126"/>
      <c r="Q180" s="126"/>
    </row>
    <row r="181" spans="1:17" x14ac:dyDescent="0.25">
      <c r="A181" s="742">
        <v>13</v>
      </c>
      <c r="B181" s="742"/>
      <c r="C181" s="54" t="s">
        <v>238</v>
      </c>
      <c r="D181" s="742" t="s">
        <v>68</v>
      </c>
      <c r="E181" s="128">
        <f t="shared" si="6"/>
        <v>2</v>
      </c>
      <c r="F181" s="742">
        <v>1</v>
      </c>
      <c r="G181" s="61"/>
      <c r="H181" s="123"/>
      <c r="I181" s="61"/>
      <c r="J181" s="125"/>
      <c r="K181" s="122"/>
      <c r="L181" s="122"/>
      <c r="M181" s="126"/>
      <c r="N181" s="126"/>
      <c r="O181" s="126"/>
      <c r="P181" s="126"/>
      <c r="Q181" s="126"/>
    </row>
    <row r="182" spans="1:17" ht="22.5" x14ac:dyDescent="0.25">
      <c r="A182" s="742">
        <v>14</v>
      </c>
      <c r="B182" s="742"/>
      <c r="C182" s="54" t="s">
        <v>671</v>
      </c>
      <c r="D182" s="742" t="s">
        <v>16</v>
      </c>
      <c r="E182" s="128">
        <f t="shared" si="6"/>
        <v>8</v>
      </c>
      <c r="F182" s="742">
        <v>4</v>
      </c>
      <c r="G182" s="61"/>
      <c r="H182" s="123"/>
      <c r="I182" s="61"/>
      <c r="J182" s="125"/>
      <c r="K182" s="122"/>
      <c r="L182" s="122"/>
      <c r="M182" s="126"/>
      <c r="N182" s="126"/>
      <c r="O182" s="126"/>
      <c r="P182" s="126"/>
      <c r="Q182" s="126"/>
    </row>
    <row r="183" spans="1:17" x14ac:dyDescent="0.25">
      <c r="A183" s="742">
        <v>15</v>
      </c>
      <c r="B183" s="742"/>
      <c r="C183" s="54" t="s">
        <v>677</v>
      </c>
      <c r="D183" s="742" t="s">
        <v>233</v>
      </c>
      <c r="E183" s="128">
        <f t="shared" si="6"/>
        <v>4</v>
      </c>
      <c r="F183" s="742">
        <v>2</v>
      </c>
      <c r="G183" s="61"/>
      <c r="H183" s="123"/>
      <c r="I183" s="61"/>
      <c r="J183" s="125"/>
      <c r="K183" s="122"/>
      <c r="L183" s="122"/>
      <c r="M183" s="126"/>
      <c r="N183" s="126"/>
      <c r="O183" s="126"/>
      <c r="P183" s="126"/>
      <c r="Q183" s="126"/>
    </row>
    <row r="184" spans="1:17" x14ac:dyDescent="0.25">
      <c r="A184" s="742">
        <v>16</v>
      </c>
      <c r="B184" s="742"/>
      <c r="C184" s="54" t="s">
        <v>658</v>
      </c>
      <c r="D184" s="742" t="s">
        <v>68</v>
      </c>
      <c r="E184" s="128">
        <f t="shared" si="6"/>
        <v>2</v>
      </c>
      <c r="F184" s="742">
        <v>1</v>
      </c>
      <c r="G184" s="61"/>
      <c r="H184" s="123"/>
      <c r="I184" s="61"/>
      <c r="J184" s="125"/>
      <c r="K184" s="122"/>
      <c r="L184" s="122"/>
      <c r="M184" s="126"/>
      <c r="N184" s="126"/>
      <c r="O184" s="126"/>
      <c r="P184" s="126"/>
      <c r="Q184" s="126"/>
    </row>
    <row r="185" spans="1:17" ht="22.5" x14ac:dyDescent="0.25">
      <c r="A185" s="742">
        <v>17</v>
      </c>
      <c r="B185" s="742"/>
      <c r="C185" s="54" t="s">
        <v>665</v>
      </c>
      <c r="D185" s="742" t="s">
        <v>68</v>
      </c>
      <c r="E185" s="128">
        <f t="shared" si="6"/>
        <v>2</v>
      </c>
      <c r="F185" s="742">
        <v>1</v>
      </c>
      <c r="G185" s="61"/>
      <c r="H185" s="123"/>
      <c r="I185" s="61"/>
      <c r="J185" s="125"/>
      <c r="K185" s="122"/>
      <c r="L185" s="122"/>
      <c r="M185" s="126"/>
      <c r="N185" s="126"/>
      <c r="O185" s="126"/>
      <c r="P185" s="126"/>
      <c r="Q185" s="126"/>
    </row>
    <row r="186" spans="1:17" x14ac:dyDescent="0.25">
      <c r="A186" s="742"/>
      <c r="B186" s="742"/>
      <c r="C186" s="565" t="s">
        <v>681</v>
      </c>
      <c r="D186" s="565"/>
      <c r="E186" s="128"/>
      <c r="F186" s="742"/>
      <c r="G186" s="565"/>
      <c r="H186" s="565"/>
      <c r="I186" s="565"/>
      <c r="J186" s="565"/>
      <c r="K186" s="565"/>
      <c r="L186" s="565"/>
      <c r="M186" s="565"/>
      <c r="N186" s="565"/>
      <c r="O186" s="565"/>
      <c r="P186" s="565"/>
      <c r="Q186" s="565"/>
    </row>
    <row r="187" spans="1:17" ht="15" x14ac:dyDescent="0.25">
      <c r="A187" s="742"/>
      <c r="B187" s="742"/>
      <c r="C187" s="759" t="s">
        <v>759</v>
      </c>
      <c r="D187" s="760"/>
      <c r="E187" s="128"/>
      <c r="F187" s="742"/>
      <c r="G187" s="127"/>
      <c r="H187" s="127"/>
      <c r="I187" s="127"/>
      <c r="J187" s="566"/>
      <c r="K187" s="567"/>
      <c r="L187" s="567"/>
      <c r="M187" s="127"/>
      <c r="N187" s="127"/>
      <c r="O187" s="127"/>
      <c r="P187" s="567"/>
      <c r="Q187" s="567"/>
    </row>
    <row r="188" spans="1:17" ht="33.75" x14ac:dyDescent="0.25">
      <c r="A188" s="742">
        <v>4</v>
      </c>
      <c r="B188" s="742"/>
      <c r="C188" s="809" t="s">
        <v>919</v>
      </c>
      <c r="D188" s="128" t="s">
        <v>68</v>
      </c>
      <c r="E188" s="128">
        <f t="shared" ref="E188:E200" si="7">5*F188</f>
        <v>25</v>
      </c>
      <c r="F188" s="128">
        <v>5</v>
      </c>
      <c r="G188" s="61"/>
      <c r="H188" s="123"/>
      <c r="I188" s="61"/>
      <c r="J188" s="125"/>
      <c r="K188" s="122"/>
      <c r="L188" s="122"/>
      <c r="M188" s="126"/>
      <c r="N188" s="126"/>
      <c r="O188" s="126"/>
      <c r="P188" s="126"/>
      <c r="Q188" s="126"/>
    </row>
    <row r="189" spans="1:17" ht="33.75" x14ac:dyDescent="0.25">
      <c r="A189" s="742">
        <v>5</v>
      </c>
      <c r="B189" s="742"/>
      <c r="C189" s="808" t="s">
        <v>956</v>
      </c>
      <c r="D189" s="742" t="s">
        <v>233</v>
      </c>
      <c r="E189" s="128">
        <f t="shared" si="7"/>
        <v>25</v>
      </c>
      <c r="F189" s="742">
        <v>5</v>
      </c>
      <c r="G189" s="61"/>
      <c r="H189" s="123"/>
      <c r="I189" s="61"/>
      <c r="J189" s="125"/>
      <c r="K189" s="122"/>
      <c r="L189" s="122"/>
      <c r="M189" s="126"/>
      <c r="N189" s="126"/>
      <c r="O189" s="126"/>
      <c r="P189" s="126"/>
      <c r="Q189" s="126"/>
    </row>
    <row r="190" spans="1:17" ht="22.5" x14ac:dyDescent="0.25">
      <c r="A190" s="742">
        <v>6</v>
      </c>
      <c r="B190" s="742"/>
      <c r="C190" s="814" t="s">
        <v>957</v>
      </c>
      <c r="D190" s="742" t="s">
        <v>16</v>
      </c>
      <c r="E190" s="128">
        <f t="shared" si="7"/>
        <v>390</v>
      </c>
      <c r="F190" s="742">
        <v>78</v>
      </c>
      <c r="G190" s="61"/>
      <c r="H190" s="123"/>
      <c r="I190" s="61"/>
      <c r="J190" s="125"/>
      <c r="K190" s="122"/>
      <c r="L190" s="122"/>
      <c r="M190" s="126"/>
      <c r="N190" s="126"/>
      <c r="O190" s="126"/>
      <c r="P190" s="126"/>
      <c r="Q190" s="126"/>
    </row>
    <row r="191" spans="1:17" x14ac:dyDescent="0.25">
      <c r="A191" s="742">
        <v>7</v>
      </c>
      <c r="B191" s="742"/>
      <c r="C191" s="54" t="s">
        <v>674</v>
      </c>
      <c r="D191" s="742" t="s">
        <v>233</v>
      </c>
      <c r="E191" s="128">
        <f t="shared" si="7"/>
        <v>220</v>
      </c>
      <c r="F191" s="742">
        <v>44</v>
      </c>
      <c r="G191" s="61"/>
      <c r="H191" s="123"/>
      <c r="I191" s="61"/>
      <c r="J191" s="125"/>
      <c r="K191" s="122"/>
      <c r="L191" s="122"/>
      <c r="M191" s="126"/>
      <c r="N191" s="126"/>
      <c r="O191" s="126"/>
      <c r="P191" s="126"/>
      <c r="Q191" s="126"/>
    </row>
    <row r="192" spans="1:17" x14ac:dyDescent="0.25">
      <c r="A192" s="742">
        <v>8</v>
      </c>
      <c r="B192" s="742"/>
      <c r="C192" s="54" t="s">
        <v>675</v>
      </c>
      <c r="D192" s="742" t="s">
        <v>233</v>
      </c>
      <c r="E192" s="128">
        <f t="shared" si="7"/>
        <v>40</v>
      </c>
      <c r="F192" s="742">
        <v>8</v>
      </c>
      <c r="G192" s="61"/>
      <c r="H192" s="123"/>
      <c r="I192" s="61"/>
      <c r="J192" s="125"/>
      <c r="K192" s="122"/>
      <c r="L192" s="122"/>
      <c r="M192" s="126"/>
      <c r="N192" s="126"/>
      <c r="O192" s="126"/>
      <c r="P192" s="126"/>
      <c r="Q192" s="126"/>
    </row>
    <row r="193" spans="1:17" x14ac:dyDescent="0.25">
      <c r="A193" s="742">
        <v>9</v>
      </c>
      <c r="B193" s="742"/>
      <c r="C193" s="381" t="s">
        <v>662</v>
      </c>
      <c r="D193" s="742" t="s">
        <v>233</v>
      </c>
      <c r="E193" s="128">
        <f t="shared" si="7"/>
        <v>10</v>
      </c>
      <c r="F193" s="742">
        <v>2</v>
      </c>
      <c r="G193" s="61"/>
      <c r="H193" s="123"/>
      <c r="I193" s="61"/>
      <c r="J193" s="125"/>
      <c r="K193" s="122"/>
      <c r="L193" s="122"/>
      <c r="M193" s="126"/>
      <c r="N193" s="126"/>
      <c r="O193" s="126"/>
      <c r="P193" s="126"/>
      <c r="Q193" s="126"/>
    </row>
    <row r="194" spans="1:17" ht="22.5" x14ac:dyDescent="0.25">
      <c r="A194" s="742">
        <v>10</v>
      </c>
      <c r="B194" s="742"/>
      <c r="C194" s="54" t="s">
        <v>676</v>
      </c>
      <c r="D194" s="742" t="s">
        <v>233</v>
      </c>
      <c r="E194" s="128">
        <f t="shared" si="7"/>
        <v>50</v>
      </c>
      <c r="F194" s="742">
        <v>10</v>
      </c>
      <c r="G194" s="123"/>
      <c r="H194" s="123"/>
      <c r="I194" s="123"/>
      <c r="J194" s="124"/>
      <c r="K194" s="122"/>
      <c r="L194" s="122"/>
      <c r="M194" s="126"/>
      <c r="N194" s="126"/>
      <c r="O194" s="126"/>
      <c r="P194" s="126"/>
      <c r="Q194" s="126"/>
    </row>
    <row r="195" spans="1:17" x14ac:dyDescent="0.25">
      <c r="A195" s="742">
        <v>11</v>
      </c>
      <c r="B195" s="742"/>
      <c r="C195" s="54" t="s">
        <v>657</v>
      </c>
      <c r="D195" s="742" t="s">
        <v>23</v>
      </c>
      <c r="E195" s="128">
        <f t="shared" si="7"/>
        <v>3</v>
      </c>
      <c r="F195" s="742">
        <v>0.6</v>
      </c>
      <c r="G195" s="61"/>
      <c r="H195" s="123"/>
      <c r="I195" s="61"/>
      <c r="J195" s="125"/>
      <c r="K195" s="122"/>
      <c r="L195" s="122"/>
      <c r="M195" s="126"/>
      <c r="N195" s="126"/>
      <c r="O195" s="126"/>
      <c r="P195" s="126"/>
      <c r="Q195" s="126"/>
    </row>
    <row r="196" spans="1:17" x14ac:dyDescent="0.25">
      <c r="A196" s="742">
        <v>12</v>
      </c>
      <c r="B196" s="742"/>
      <c r="C196" s="54" t="s">
        <v>238</v>
      </c>
      <c r="D196" s="742" t="s">
        <v>68</v>
      </c>
      <c r="E196" s="128">
        <f t="shared" si="7"/>
        <v>5</v>
      </c>
      <c r="F196" s="742">
        <v>1</v>
      </c>
      <c r="G196" s="61"/>
      <c r="H196" s="123"/>
      <c r="I196" s="61"/>
      <c r="J196" s="125"/>
      <c r="K196" s="122"/>
      <c r="L196" s="122"/>
      <c r="M196" s="126"/>
      <c r="N196" s="126"/>
      <c r="O196" s="126"/>
      <c r="P196" s="126"/>
      <c r="Q196" s="126"/>
    </row>
    <row r="197" spans="1:17" ht="22.5" x14ac:dyDescent="0.25">
      <c r="A197" s="742">
        <v>13</v>
      </c>
      <c r="B197" s="742"/>
      <c r="C197" s="54" t="s">
        <v>671</v>
      </c>
      <c r="D197" s="742" t="s">
        <v>16</v>
      </c>
      <c r="E197" s="128">
        <f t="shared" si="7"/>
        <v>20</v>
      </c>
      <c r="F197" s="742">
        <v>4</v>
      </c>
      <c r="G197" s="61"/>
      <c r="H197" s="123"/>
      <c r="I197" s="61"/>
      <c r="J197" s="125"/>
      <c r="K197" s="122"/>
      <c r="L197" s="122"/>
      <c r="M197" s="126"/>
      <c r="N197" s="126"/>
      <c r="O197" s="126"/>
      <c r="P197" s="126"/>
      <c r="Q197" s="126"/>
    </row>
    <row r="198" spans="1:17" x14ac:dyDescent="0.25">
      <c r="A198" s="742">
        <v>14</v>
      </c>
      <c r="B198" s="742"/>
      <c r="C198" s="54" t="s">
        <v>677</v>
      </c>
      <c r="D198" s="742" t="s">
        <v>233</v>
      </c>
      <c r="E198" s="128">
        <f t="shared" si="7"/>
        <v>10</v>
      </c>
      <c r="F198" s="742">
        <v>2</v>
      </c>
      <c r="G198" s="61"/>
      <c r="H198" s="123"/>
      <c r="I198" s="61"/>
      <c r="J198" s="125"/>
      <c r="K198" s="122"/>
      <c r="L198" s="122"/>
      <c r="M198" s="126"/>
      <c r="N198" s="126"/>
      <c r="O198" s="126"/>
      <c r="P198" s="126"/>
      <c r="Q198" s="126"/>
    </row>
    <row r="199" spans="1:17" x14ac:dyDescent="0.25">
      <c r="A199" s="742">
        <v>15</v>
      </c>
      <c r="B199" s="742"/>
      <c r="C199" s="54" t="s">
        <v>658</v>
      </c>
      <c r="D199" s="742" t="s">
        <v>68</v>
      </c>
      <c r="E199" s="128">
        <f t="shared" si="7"/>
        <v>5</v>
      </c>
      <c r="F199" s="742">
        <v>1</v>
      </c>
      <c r="G199" s="61"/>
      <c r="H199" s="123"/>
      <c r="I199" s="61"/>
      <c r="J199" s="125"/>
      <c r="K199" s="122"/>
      <c r="L199" s="122"/>
      <c r="M199" s="126"/>
      <c r="N199" s="126"/>
      <c r="O199" s="126"/>
      <c r="P199" s="126"/>
      <c r="Q199" s="126"/>
    </row>
    <row r="200" spans="1:17" ht="22.5" x14ac:dyDescent="0.25">
      <c r="A200" s="742">
        <v>16</v>
      </c>
      <c r="B200" s="742"/>
      <c r="C200" s="54" t="s">
        <v>665</v>
      </c>
      <c r="D200" s="742" t="s">
        <v>68</v>
      </c>
      <c r="E200" s="128">
        <f t="shared" si="7"/>
        <v>5</v>
      </c>
      <c r="F200" s="742">
        <v>1</v>
      </c>
      <c r="G200" s="61"/>
      <c r="H200" s="123"/>
      <c r="I200" s="61"/>
      <c r="J200" s="125"/>
      <c r="K200" s="122"/>
      <c r="L200" s="122"/>
      <c r="M200" s="126"/>
      <c r="N200" s="126"/>
      <c r="O200" s="126"/>
      <c r="P200" s="126"/>
      <c r="Q200" s="126"/>
    </row>
    <row r="201" spans="1:17" x14ac:dyDescent="0.25">
      <c r="A201" s="742"/>
      <c r="B201" s="742"/>
      <c r="C201" s="565" t="s">
        <v>682</v>
      </c>
      <c r="D201" s="565"/>
      <c r="E201" s="128"/>
      <c r="F201" s="565"/>
      <c r="G201" s="564"/>
      <c r="H201" s="107"/>
      <c r="I201" s="107"/>
      <c r="J201" s="107"/>
      <c r="K201" s="107"/>
      <c r="L201" s="107"/>
      <c r="M201" s="107"/>
      <c r="N201" s="107"/>
      <c r="O201" s="564"/>
      <c r="P201" s="107"/>
      <c r="Q201" s="564"/>
    </row>
    <row r="202" spans="1:17" ht="15" x14ac:dyDescent="0.25">
      <c r="A202" s="742"/>
      <c r="B202" s="742"/>
      <c r="C202" s="759" t="s">
        <v>760</v>
      </c>
      <c r="D202" s="760"/>
      <c r="E202" s="128"/>
      <c r="F202" s="742"/>
      <c r="G202" s="565"/>
      <c r="H202" s="565"/>
      <c r="I202" s="565"/>
      <c r="J202" s="565"/>
      <c r="K202" s="565"/>
      <c r="L202" s="565"/>
      <c r="M202" s="565"/>
      <c r="N202" s="565"/>
      <c r="O202" s="565"/>
      <c r="P202" s="565"/>
      <c r="Q202" s="565"/>
    </row>
    <row r="203" spans="1:17" ht="33.75" x14ac:dyDescent="0.25">
      <c r="A203" s="742">
        <v>4</v>
      </c>
      <c r="B203" s="742"/>
      <c r="C203" s="809" t="s">
        <v>919</v>
      </c>
      <c r="D203" s="128" t="s">
        <v>68</v>
      </c>
      <c r="E203" s="128">
        <f t="shared" ref="E203:E215" si="8">4*F203</f>
        <v>16</v>
      </c>
      <c r="F203" s="128">
        <v>4</v>
      </c>
      <c r="G203" s="61"/>
      <c r="H203" s="123"/>
      <c r="I203" s="61"/>
      <c r="J203" s="125"/>
      <c r="K203" s="122"/>
      <c r="L203" s="122"/>
      <c r="M203" s="126"/>
      <c r="N203" s="126"/>
      <c r="O203" s="126"/>
      <c r="P203" s="126"/>
      <c r="Q203" s="126"/>
    </row>
    <row r="204" spans="1:17" ht="33.75" x14ac:dyDescent="0.25">
      <c r="A204" s="742">
        <v>5</v>
      </c>
      <c r="B204" s="742"/>
      <c r="C204" s="808" t="s">
        <v>956</v>
      </c>
      <c r="D204" s="742" t="s">
        <v>233</v>
      </c>
      <c r="E204" s="128">
        <f t="shared" si="8"/>
        <v>16</v>
      </c>
      <c r="F204" s="742">
        <v>4</v>
      </c>
      <c r="G204" s="61"/>
      <c r="H204" s="123"/>
      <c r="I204" s="61"/>
      <c r="J204" s="125"/>
      <c r="K204" s="122"/>
      <c r="L204" s="122"/>
      <c r="M204" s="126"/>
      <c r="N204" s="126"/>
      <c r="O204" s="126"/>
      <c r="P204" s="126"/>
      <c r="Q204" s="126"/>
    </row>
    <row r="205" spans="1:17" ht="22.5" x14ac:dyDescent="0.25">
      <c r="A205" s="742">
        <v>6</v>
      </c>
      <c r="B205" s="742"/>
      <c r="C205" s="814" t="s">
        <v>957</v>
      </c>
      <c r="D205" s="742" t="s">
        <v>16</v>
      </c>
      <c r="E205" s="128">
        <f t="shared" si="8"/>
        <v>256</v>
      </c>
      <c r="F205" s="742">
        <v>64</v>
      </c>
      <c r="G205" s="61"/>
      <c r="H205" s="123"/>
      <c r="I205" s="61"/>
      <c r="J205" s="125"/>
      <c r="K205" s="122"/>
      <c r="L205" s="122"/>
      <c r="M205" s="126"/>
      <c r="N205" s="126"/>
      <c r="O205" s="126"/>
      <c r="P205" s="126"/>
      <c r="Q205" s="126"/>
    </row>
    <row r="206" spans="1:17" x14ac:dyDescent="0.25">
      <c r="A206" s="742">
        <v>7</v>
      </c>
      <c r="B206" s="742"/>
      <c r="C206" s="54" t="s">
        <v>674</v>
      </c>
      <c r="D206" s="742" t="s">
        <v>233</v>
      </c>
      <c r="E206" s="128">
        <f t="shared" si="8"/>
        <v>168</v>
      </c>
      <c r="F206" s="742">
        <v>42</v>
      </c>
      <c r="G206" s="61"/>
      <c r="H206" s="123"/>
      <c r="I206" s="61"/>
      <c r="J206" s="125"/>
      <c r="K206" s="122"/>
      <c r="L206" s="122"/>
      <c r="M206" s="126"/>
      <c r="N206" s="126"/>
      <c r="O206" s="126"/>
      <c r="P206" s="126"/>
      <c r="Q206" s="126"/>
    </row>
    <row r="207" spans="1:17" x14ac:dyDescent="0.25">
      <c r="A207" s="742">
        <v>8</v>
      </c>
      <c r="B207" s="742"/>
      <c r="C207" s="54" t="s">
        <v>675</v>
      </c>
      <c r="D207" s="742" t="s">
        <v>233</v>
      </c>
      <c r="E207" s="128">
        <f t="shared" si="8"/>
        <v>16</v>
      </c>
      <c r="F207" s="742">
        <v>4</v>
      </c>
      <c r="G207" s="61"/>
      <c r="H207" s="123"/>
      <c r="I207" s="61"/>
      <c r="J207" s="125"/>
      <c r="K207" s="122"/>
      <c r="L207" s="122"/>
      <c r="M207" s="126"/>
      <c r="N207" s="126"/>
      <c r="O207" s="126"/>
      <c r="P207" s="126"/>
      <c r="Q207" s="126"/>
    </row>
    <row r="208" spans="1:17" x14ac:dyDescent="0.25">
      <c r="A208" s="742">
        <v>9</v>
      </c>
      <c r="B208" s="742"/>
      <c r="C208" s="381" t="s">
        <v>662</v>
      </c>
      <c r="D208" s="742" t="s">
        <v>233</v>
      </c>
      <c r="E208" s="128">
        <f t="shared" si="8"/>
        <v>8</v>
      </c>
      <c r="F208" s="742">
        <v>2</v>
      </c>
      <c r="G208" s="61"/>
      <c r="H208" s="123"/>
      <c r="I208" s="61"/>
      <c r="J208" s="125"/>
      <c r="K208" s="122"/>
      <c r="L208" s="122"/>
      <c r="M208" s="126"/>
      <c r="N208" s="126"/>
      <c r="O208" s="126"/>
      <c r="P208" s="126"/>
      <c r="Q208" s="126"/>
    </row>
    <row r="209" spans="1:17" ht="22.5" x14ac:dyDescent="0.25">
      <c r="A209" s="742">
        <v>10</v>
      </c>
      <c r="B209" s="742"/>
      <c r="C209" s="54" t="s">
        <v>676</v>
      </c>
      <c r="D209" s="742" t="s">
        <v>233</v>
      </c>
      <c r="E209" s="128">
        <f t="shared" si="8"/>
        <v>24</v>
      </c>
      <c r="F209" s="742">
        <v>6</v>
      </c>
      <c r="G209" s="123"/>
      <c r="H209" s="123"/>
      <c r="I209" s="123"/>
      <c r="J209" s="124"/>
      <c r="K209" s="122"/>
      <c r="L209" s="122"/>
      <c r="M209" s="126"/>
      <c r="N209" s="126"/>
      <c r="O209" s="126"/>
      <c r="P209" s="126"/>
      <c r="Q209" s="126"/>
    </row>
    <row r="210" spans="1:17" x14ac:dyDescent="0.25">
      <c r="A210" s="742">
        <v>11</v>
      </c>
      <c r="B210" s="742"/>
      <c r="C210" s="54" t="s">
        <v>657</v>
      </c>
      <c r="D210" s="742" t="s">
        <v>23</v>
      </c>
      <c r="E210" s="128">
        <f t="shared" si="8"/>
        <v>2</v>
      </c>
      <c r="F210" s="742">
        <v>0.5</v>
      </c>
      <c r="G210" s="61"/>
      <c r="H210" s="123"/>
      <c r="I210" s="61"/>
      <c r="J210" s="125"/>
      <c r="K210" s="122"/>
      <c r="L210" s="122"/>
      <c r="M210" s="126"/>
      <c r="N210" s="126"/>
      <c r="O210" s="126"/>
      <c r="P210" s="126"/>
      <c r="Q210" s="126"/>
    </row>
    <row r="211" spans="1:17" x14ac:dyDescent="0.25">
      <c r="A211" s="742">
        <v>12</v>
      </c>
      <c r="B211" s="742"/>
      <c r="C211" s="54" t="s">
        <v>238</v>
      </c>
      <c r="D211" s="742" t="s">
        <v>68</v>
      </c>
      <c r="E211" s="128">
        <f t="shared" si="8"/>
        <v>4</v>
      </c>
      <c r="F211" s="742">
        <v>1</v>
      </c>
      <c r="G211" s="61"/>
      <c r="H211" s="123"/>
      <c r="I211" s="61"/>
      <c r="J211" s="125"/>
      <c r="K211" s="122"/>
      <c r="L211" s="122"/>
      <c r="M211" s="126"/>
      <c r="N211" s="126"/>
      <c r="O211" s="126"/>
      <c r="P211" s="126"/>
      <c r="Q211" s="126"/>
    </row>
    <row r="212" spans="1:17" ht="22.5" x14ac:dyDescent="0.25">
      <c r="A212" s="742">
        <v>13</v>
      </c>
      <c r="B212" s="742"/>
      <c r="C212" s="54" t="s">
        <v>671</v>
      </c>
      <c r="D212" s="742" t="s">
        <v>16</v>
      </c>
      <c r="E212" s="128">
        <f t="shared" si="8"/>
        <v>16</v>
      </c>
      <c r="F212" s="742">
        <v>4</v>
      </c>
      <c r="G212" s="61"/>
      <c r="H212" s="123"/>
      <c r="I212" s="61"/>
      <c r="J212" s="125"/>
      <c r="K212" s="122"/>
      <c r="L212" s="122"/>
      <c r="M212" s="126"/>
      <c r="N212" s="126"/>
      <c r="O212" s="126"/>
      <c r="P212" s="126"/>
      <c r="Q212" s="126"/>
    </row>
    <row r="213" spans="1:17" x14ac:dyDescent="0.25">
      <c r="A213" s="742">
        <v>14</v>
      </c>
      <c r="B213" s="742"/>
      <c r="C213" s="54" t="s">
        <v>677</v>
      </c>
      <c r="D213" s="742" t="s">
        <v>233</v>
      </c>
      <c r="E213" s="128">
        <f t="shared" si="8"/>
        <v>8</v>
      </c>
      <c r="F213" s="742">
        <v>2</v>
      </c>
      <c r="G213" s="61"/>
      <c r="H213" s="123"/>
      <c r="I213" s="61"/>
      <c r="J213" s="125"/>
      <c r="K213" s="122"/>
      <c r="L213" s="122"/>
      <c r="M213" s="126"/>
      <c r="N213" s="126"/>
      <c r="O213" s="126"/>
      <c r="P213" s="126"/>
      <c r="Q213" s="126"/>
    </row>
    <row r="214" spans="1:17" x14ac:dyDescent="0.25">
      <c r="A214" s="742">
        <v>15</v>
      </c>
      <c r="B214" s="742"/>
      <c r="C214" s="54" t="s">
        <v>658</v>
      </c>
      <c r="D214" s="742" t="s">
        <v>68</v>
      </c>
      <c r="E214" s="128">
        <f t="shared" si="8"/>
        <v>4</v>
      </c>
      <c r="F214" s="742">
        <v>1</v>
      </c>
      <c r="G214" s="61"/>
      <c r="H214" s="123"/>
      <c r="I214" s="61"/>
      <c r="J214" s="125"/>
      <c r="K214" s="122"/>
      <c r="L214" s="122"/>
      <c r="M214" s="126"/>
      <c r="N214" s="126"/>
      <c r="O214" s="126"/>
      <c r="P214" s="126"/>
      <c r="Q214" s="126"/>
    </row>
    <row r="215" spans="1:17" ht="22.5" x14ac:dyDescent="0.25">
      <c r="A215" s="742">
        <v>16</v>
      </c>
      <c r="B215" s="742"/>
      <c r="C215" s="54" t="s">
        <v>665</v>
      </c>
      <c r="D215" s="742" t="s">
        <v>68</v>
      </c>
      <c r="E215" s="128">
        <f t="shared" si="8"/>
        <v>4</v>
      </c>
      <c r="F215" s="742">
        <v>1</v>
      </c>
      <c r="G215" s="61"/>
      <c r="H215" s="123"/>
      <c r="I215" s="61"/>
      <c r="J215" s="125"/>
      <c r="K215" s="122"/>
      <c r="L215" s="122"/>
      <c r="M215" s="126"/>
      <c r="N215" s="126"/>
      <c r="O215" s="126"/>
      <c r="P215" s="126"/>
      <c r="Q215" s="126"/>
    </row>
    <row r="216" spans="1:17" x14ac:dyDescent="0.25">
      <c r="A216" s="742"/>
      <c r="B216" s="742"/>
      <c r="C216" s="565" t="s">
        <v>683</v>
      </c>
      <c r="D216" s="565"/>
      <c r="E216" s="128"/>
      <c r="F216" s="565"/>
      <c r="G216" s="564"/>
      <c r="H216" s="107"/>
      <c r="I216" s="107"/>
      <c r="J216" s="107"/>
      <c r="K216" s="107"/>
      <c r="L216" s="107"/>
      <c r="M216" s="107"/>
      <c r="N216" s="107"/>
      <c r="O216" s="564"/>
      <c r="P216" s="107"/>
      <c r="Q216" s="564"/>
    </row>
    <row r="217" spans="1:17" ht="15" x14ac:dyDescent="0.25">
      <c r="A217" s="742"/>
      <c r="B217" s="742"/>
      <c r="C217" s="759" t="s">
        <v>761</v>
      </c>
      <c r="D217" s="760"/>
      <c r="E217" s="128"/>
      <c r="F217" s="742"/>
      <c r="G217" s="565"/>
      <c r="H217" s="565"/>
      <c r="I217" s="565"/>
      <c r="J217" s="565"/>
      <c r="K217" s="565"/>
      <c r="L217" s="565"/>
      <c r="M217" s="565"/>
      <c r="N217" s="565"/>
      <c r="O217" s="565"/>
      <c r="P217" s="565"/>
      <c r="Q217" s="565"/>
    </row>
    <row r="218" spans="1:17" ht="33.75" x14ac:dyDescent="0.25">
      <c r="A218" s="742">
        <v>4</v>
      </c>
      <c r="B218" s="742"/>
      <c r="C218" s="809" t="s">
        <v>919</v>
      </c>
      <c r="D218" s="128" t="s">
        <v>68</v>
      </c>
      <c r="E218" s="128">
        <f t="shared" ref="E218:E230" si="9">F218</f>
        <v>5</v>
      </c>
      <c r="F218" s="128">
        <v>5</v>
      </c>
      <c r="G218" s="61"/>
      <c r="H218" s="123"/>
      <c r="I218" s="61"/>
      <c r="J218" s="125"/>
      <c r="K218" s="122"/>
      <c r="L218" s="122"/>
      <c r="M218" s="126"/>
      <c r="N218" s="126"/>
      <c r="O218" s="126"/>
      <c r="P218" s="126"/>
      <c r="Q218" s="126"/>
    </row>
    <row r="219" spans="1:17" ht="33.75" x14ac:dyDescent="0.25">
      <c r="A219" s="742">
        <v>5</v>
      </c>
      <c r="B219" s="742"/>
      <c r="C219" s="808" t="s">
        <v>956</v>
      </c>
      <c r="D219" s="742" t="s">
        <v>233</v>
      </c>
      <c r="E219" s="128">
        <f t="shared" si="9"/>
        <v>5</v>
      </c>
      <c r="F219" s="742">
        <v>5</v>
      </c>
      <c r="G219" s="61"/>
      <c r="H219" s="123"/>
      <c r="I219" s="61"/>
      <c r="J219" s="125"/>
      <c r="K219" s="122"/>
      <c r="L219" s="122"/>
      <c r="M219" s="126"/>
      <c r="N219" s="126"/>
      <c r="O219" s="126"/>
      <c r="P219" s="126"/>
      <c r="Q219" s="126"/>
    </row>
    <row r="220" spans="1:17" ht="22.5" x14ac:dyDescent="0.25">
      <c r="A220" s="742">
        <v>6</v>
      </c>
      <c r="B220" s="742"/>
      <c r="C220" s="814" t="s">
        <v>957</v>
      </c>
      <c r="D220" s="742" t="s">
        <v>16</v>
      </c>
      <c r="E220" s="128">
        <f t="shared" si="9"/>
        <v>80</v>
      </c>
      <c r="F220" s="742">
        <v>80</v>
      </c>
      <c r="G220" s="61"/>
      <c r="H220" s="123"/>
      <c r="I220" s="61"/>
      <c r="J220" s="125"/>
      <c r="K220" s="122"/>
      <c r="L220" s="122"/>
      <c r="M220" s="126"/>
      <c r="N220" s="126"/>
      <c r="O220" s="126"/>
      <c r="P220" s="126"/>
      <c r="Q220" s="126"/>
    </row>
    <row r="221" spans="1:17" x14ac:dyDescent="0.25">
      <c r="A221" s="742">
        <v>7</v>
      </c>
      <c r="B221" s="742"/>
      <c r="C221" s="54" t="s">
        <v>674</v>
      </c>
      <c r="D221" s="742" t="s">
        <v>233</v>
      </c>
      <c r="E221" s="128">
        <f t="shared" si="9"/>
        <v>42</v>
      </c>
      <c r="F221" s="742">
        <v>42</v>
      </c>
      <c r="G221" s="61"/>
      <c r="H221" s="123"/>
      <c r="I221" s="61"/>
      <c r="J221" s="125"/>
      <c r="K221" s="122"/>
      <c r="L221" s="122"/>
      <c r="M221" s="126"/>
      <c r="N221" s="126"/>
      <c r="O221" s="126"/>
      <c r="P221" s="126"/>
      <c r="Q221" s="126"/>
    </row>
    <row r="222" spans="1:17" x14ac:dyDescent="0.25">
      <c r="A222" s="742">
        <v>8</v>
      </c>
      <c r="B222" s="742"/>
      <c r="C222" s="54" t="s">
        <v>675</v>
      </c>
      <c r="D222" s="742" t="s">
        <v>233</v>
      </c>
      <c r="E222" s="128">
        <f t="shared" si="9"/>
        <v>8</v>
      </c>
      <c r="F222" s="742">
        <v>8</v>
      </c>
      <c r="G222" s="61"/>
      <c r="H222" s="123"/>
      <c r="I222" s="61"/>
      <c r="J222" s="125"/>
      <c r="K222" s="122"/>
      <c r="L222" s="122"/>
      <c r="M222" s="126"/>
      <c r="N222" s="126"/>
      <c r="O222" s="126"/>
      <c r="P222" s="126"/>
      <c r="Q222" s="126"/>
    </row>
    <row r="223" spans="1:17" x14ac:dyDescent="0.25">
      <c r="A223" s="742">
        <v>9</v>
      </c>
      <c r="B223" s="742"/>
      <c r="C223" s="381" t="s">
        <v>662</v>
      </c>
      <c r="D223" s="742" t="s">
        <v>233</v>
      </c>
      <c r="E223" s="128">
        <f t="shared" si="9"/>
        <v>2</v>
      </c>
      <c r="F223" s="742">
        <v>2</v>
      </c>
      <c r="G223" s="61"/>
      <c r="H223" s="123"/>
      <c r="I223" s="61"/>
      <c r="J223" s="125"/>
      <c r="K223" s="122"/>
      <c r="L223" s="122"/>
      <c r="M223" s="126"/>
      <c r="N223" s="126"/>
      <c r="O223" s="126"/>
      <c r="P223" s="126"/>
      <c r="Q223" s="126"/>
    </row>
    <row r="224" spans="1:17" ht="22.5" x14ac:dyDescent="0.25">
      <c r="A224" s="742">
        <v>10</v>
      </c>
      <c r="B224" s="742"/>
      <c r="C224" s="54" t="s">
        <v>676</v>
      </c>
      <c r="D224" s="742" t="s">
        <v>233</v>
      </c>
      <c r="E224" s="128">
        <f t="shared" si="9"/>
        <v>10</v>
      </c>
      <c r="F224" s="742">
        <v>10</v>
      </c>
      <c r="G224" s="123"/>
      <c r="H224" s="123"/>
      <c r="I224" s="123"/>
      <c r="J224" s="124"/>
      <c r="K224" s="122"/>
      <c r="L224" s="122"/>
      <c r="M224" s="126"/>
      <c r="N224" s="126"/>
      <c r="O224" s="126"/>
      <c r="P224" s="126"/>
      <c r="Q224" s="126"/>
    </row>
    <row r="225" spans="1:17" x14ac:dyDescent="0.25">
      <c r="A225" s="742">
        <v>11</v>
      </c>
      <c r="B225" s="742"/>
      <c r="C225" s="54" t="s">
        <v>657</v>
      </c>
      <c r="D225" s="742" t="s">
        <v>23</v>
      </c>
      <c r="E225" s="128">
        <f t="shared" si="9"/>
        <v>0.6</v>
      </c>
      <c r="F225" s="742">
        <v>0.6</v>
      </c>
      <c r="G225" s="61"/>
      <c r="H225" s="123"/>
      <c r="I225" s="61"/>
      <c r="J225" s="125"/>
      <c r="K225" s="122"/>
      <c r="L225" s="122"/>
      <c r="M225" s="126"/>
      <c r="N225" s="126"/>
      <c r="O225" s="126"/>
      <c r="P225" s="126"/>
      <c r="Q225" s="126"/>
    </row>
    <row r="226" spans="1:17" x14ac:dyDescent="0.25">
      <c r="A226" s="742">
        <v>12</v>
      </c>
      <c r="B226" s="742"/>
      <c r="C226" s="54" t="s">
        <v>238</v>
      </c>
      <c r="D226" s="742" t="s">
        <v>68</v>
      </c>
      <c r="E226" s="128">
        <f t="shared" si="9"/>
        <v>1</v>
      </c>
      <c r="F226" s="742">
        <v>1</v>
      </c>
      <c r="G226" s="61"/>
      <c r="H226" s="123"/>
      <c r="I226" s="61"/>
      <c r="J226" s="125"/>
      <c r="K226" s="122"/>
      <c r="L226" s="122"/>
      <c r="M226" s="126"/>
      <c r="N226" s="126"/>
      <c r="O226" s="126"/>
      <c r="P226" s="126"/>
      <c r="Q226" s="126"/>
    </row>
    <row r="227" spans="1:17" ht="22.5" x14ac:dyDescent="0.25">
      <c r="A227" s="742">
        <v>13</v>
      </c>
      <c r="B227" s="742"/>
      <c r="C227" s="54" t="s">
        <v>671</v>
      </c>
      <c r="D227" s="742" t="s">
        <v>16</v>
      </c>
      <c r="E227" s="128">
        <f t="shared" si="9"/>
        <v>4</v>
      </c>
      <c r="F227" s="742">
        <v>4</v>
      </c>
      <c r="G227" s="61"/>
      <c r="H227" s="123"/>
      <c r="I227" s="61"/>
      <c r="J227" s="125"/>
      <c r="K227" s="122"/>
      <c r="L227" s="122"/>
      <c r="M227" s="126"/>
      <c r="N227" s="126"/>
      <c r="O227" s="126"/>
      <c r="P227" s="126"/>
      <c r="Q227" s="126"/>
    </row>
    <row r="228" spans="1:17" x14ac:dyDescent="0.25">
      <c r="A228" s="742">
        <v>14</v>
      </c>
      <c r="B228" s="742"/>
      <c r="C228" s="54" t="s">
        <v>677</v>
      </c>
      <c r="D228" s="742" t="s">
        <v>233</v>
      </c>
      <c r="E228" s="128">
        <f t="shared" si="9"/>
        <v>2</v>
      </c>
      <c r="F228" s="742">
        <v>2</v>
      </c>
      <c r="G228" s="61"/>
      <c r="H228" s="123"/>
      <c r="I228" s="61"/>
      <c r="J228" s="125"/>
      <c r="K228" s="122"/>
      <c r="L228" s="122"/>
      <c r="M228" s="126"/>
      <c r="N228" s="126"/>
      <c r="O228" s="126"/>
      <c r="P228" s="126"/>
      <c r="Q228" s="126"/>
    </row>
    <row r="229" spans="1:17" x14ac:dyDescent="0.25">
      <c r="A229" s="742">
        <v>15</v>
      </c>
      <c r="B229" s="742"/>
      <c r="C229" s="54" t="s">
        <v>658</v>
      </c>
      <c r="D229" s="742" t="s">
        <v>68</v>
      </c>
      <c r="E229" s="128">
        <f t="shared" si="9"/>
        <v>1</v>
      </c>
      <c r="F229" s="742">
        <v>1</v>
      </c>
      <c r="G229" s="61"/>
      <c r="H229" s="123"/>
      <c r="I229" s="61"/>
      <c r="J229" s="125"/>
      <c r="K229" s="122"/>
      <c r="L229" s="122"/>
      <c r="M229" s="126"/>
      <c r="N229" s="126"/>
      <c r="O229" s="126"/>
      <c r="P229" s="126"/>
      <c r="Q229" s="126"/>
    </row>
    <row r="230" spans="1:17" ht="22.5" x14ac:dyDescent="0.25">
      <c r="A230" s="742">
        <v>16</v>
      </c>
      <c r="B230" s="742"/>
      <c r="C230" s="54" t="s">
        <v>665</v>
      </c>
      <c r="D230" s="742" t="s">
        <v>68</v>
      </c>
      <c r="E230" s="128">
        <f t="shared" si="9"/>
        <v>1</v>
      </c>
      <c r="F230" s="742">
        <v>1</v>
      </c>
      <c r="G230" s="61"/>
      <c r="H230" s="123"/>
      <c r="I230" s="61"/>
      <c r="J230" s="125"/>
      <c r="K230" s="122"/>
      <c r="L230" s="122"/>
      <c r="M230" s="126"/>
      <c r="N230" s="126"/>
      <c r="O230" s="126"/>
      <c r="P230" s="126"/>
      <c r="Q230" s="126"/>
    </row>
    <row r="231" spans="1:17" x14ac:dyDescent="0.25">
      <c r="A231" s="742"/>
      <c r="B231" s="742"/>
      <c r="C231" s="565" t="s">
        <v>684</v>
      </c>
      <c r="D231" s="565"/>
      <c r="E231" s="128"/>
      <c r="F231" s="565"/>
      <c r="G231" s="564"/>
      <c r="H231" s="107"/>
      <c r="I231" s="107"/>
      <c r="J231" s="107"/>
      <c r="K231" s="107"/>
      <c r="L231" s="107"/>
      <c r="M231" s="107"/>
      <c r="N231" s="107"/>
      <c r="O231" s="564"/>
      <c r="P231" s="107"/>
      <c r="Q231" s="564"/>
    </row>
    <row r="232" spans="1:17" ht="15" x14ac:dyDescent="0.25">
      <c r="A232" s="742"/>
      <c r="B232" s="742"/>
      <c r="C232" s="759" t="s">
        <v>762</v>
      </c>
      <c r="D232" s="760"/>
      <c r="E232" s="128"/>
      <c r="F232" s="742"/>
      <c r="G232" s="565"/>
      <c r="H232" s="565"/>
      <c r="I232" s="565"/>
      <c r="J232" s="565"/>
      <c r="K232" s="565"/>
      <c r="L232" s="565"/>
      <c r="M232" s="565"/>
      <c r="N232" s="565"/>
      <c r="O232" s="565"/>
      <c r="P232" s="565"/>
      <c r="Q232" s="565"/>
    </row>
    <row r="233" spans="1:17" ht="33.75" x14ac:dyDescent="0.25">
      <c r="A233" s="742">
        <v>5</v>
      </c>
      <c r="B233" s="742"/>
      <c r="C233" s="809" t="s">
        <v>919</v>
      </c>
      <c r="D233" s="128" t="s">
        <v>68</v>
      </c>
      <c r="E233" s="128">
        <f t="shared" ref="E233:E245" si="10">10*F233</f>
        <v>50</v>
      </c>
      <c r="F233" s="742">
        <v>5</v>
      </c>
      <c r="G233" s="61"/>
      <c r="H233" s="123"/>
      <c r="I233" s="61"/>
      <c r="J233" s="125"/>
      <c r="K233" s="122"/>
      <c r="L233" s="122"/>
      <c r="M233" s="126"/>
      <c r="N233" s="126"/>
      <c r="O233" s="126"/>
      <c r="P233" s="126"/>
      <c r="Q233" s="126"/>
    </row>
    <row r="234" spans="1:17" ht="33.75" x14ac:dyDescent="0.25">
      <c r="A234" s="742">
        <v>6</v>
      </c>
      <c r="B234" s="742"/>
      <c r="C234" s="808" t="s">
        <v>956</v>
      </c>
      <c r="D234" s="742" t="s">
        <v>233</v>
      </c>
      <c r="E234" s="128">
        <f t="shared" si="10"/>
        <v>50</v>
      </c>
      <c r="F234" s="742">
        <v>5</v>
      </c>
      <c r="G234" s="61"/>
      <c r="H234" s="123"/>
      <c r="I234" s="61"/>
      <c r="J234" s="125"/>
      <c r="K234" s="122"/>
      <c r="L234" s="122"/>
      <c r="M234" s="126"/>
      <c r="N234" s="126"/>
      <c r="O234" s="126"/>
      <c r="P234" s="126"/>
      <c r="Q234" s="126"/>
    </row>
    <row r="235" spans="1:17" ht="22.5" x14ac:dyDescent="0.25">
      <c r="A235" s="742">
        <v>7</v>
      </c>
      <c r="B235" s="742"/>
      <c r="C235" s="814" t="s">
        <v>957</v>
      </c>
      <c r="D235" s="742" t="s">
        <v>16</v>
      </c>
      <c r="E235" s="128">
        <f t="shared" si="10"/>
        <v>740</v>
      </c>
      <c r="F235" s="742">
        <v>74</v>
      </c>
      <c r="G235" s="61"/>
      <c r="H235" s="123"/>
      <c r="I235" s="61"/>
      <c r="J235" s="125"/>
      <c r="K235" s="122"/>
      <c r="L235" s="122"/>
      <c r="M235" s="126"/>
      <c r="N235" s="126"/>
      <c r="O235" s="126"/>
      <c r="P235" s="126"/>
      <c r="Q235" s="126"/>
    </row>
    <row r="236" spans="1:17" x14ac:dyDescent="0.25">
      <c r="A236" s="742">
        <v>8</v>
      </c>
      <c r="B236" s="742"/>
      <c r="C236" s="54" t="s">
        <v>674</v>
      </c>
      <c r="D236" s="742" t="s">
        <v>233</v>
      </c>
      <c r="E236" s="128">
        <f t="shared" si="10"/>
        <v>420</v>
      </c>
      <c r="F236" s="742">
        <v>42</v>
      </c>
      <c r="G236" s="61"/>
      <c r="H236" s="123"/>
      <c r="I236" s="61"/>
      <c r="J236" s="125"/>
      <c r="K236" s="122"/>
      <c r="L236" s="122"/>
      <c r="M236" s="126"/>
      <c r="N236" s="126"/>
      <c r="O236" s="126"/>
      <c r="P236" s="126"/>
      <c r="Q236" s="126"/>
    </row>
    <row r="237" spans="1:17" x14ac:dyDescent="0.25">
      <c r="A237" s="742">
        <v>9</v>
      </c>
      <c r="B237" s="742"/>
      <c r="C237" s="54" t="s">
        <v>675</v>
      </c>
      <c r="D237" s="742" t="s">
        <v>233</v>
      </c>
      <c r="E237" s="128">
        <f t="shared" si="10"/>
        <v>80</v>
      </c>
      <c r="F237" s="742">
        <v>8</v>
      </c>
      <c r="G237" s="61"/>
      <c r="H237" s="123"/>
      <c r="I237" s="61"/>
      <c r="J237" s="125"/>
      <c r="K237" s="122"/>
      <c r="L237" s="122"/>
      <c r="M237" s="126"/>
      <c r="N237" s="126"/>
      <c r="O237" s="126"/>
      <c r="P237" s="126"/>
      <c r="Q237" s="126"/>
    </row>
    <row r="238" spans="1:17" x14ac:dyDescent="0.25">
      <c r="A238" s="742">
        <v>10</v>
      </c>
      <c r="B238" s="742"/>
      <c r="C238" s="381" t="s">
        <v>662</v>
      </c>
      <c r="D238" s="742" t="s">
        <v>233</v>
      </c>
      <c r="E238" s="128">
        <f t="shared" si="10"/>
        <v>20</v>
      </c>
      <c r="F238" s="742">
        <v>2</v>
      </c>
      <c r="G238" s="123"/>
      <c r="H238" s="123"/>
      <c r="I238" s="123"/>
      <c r="J238" s="124"/>
      <c r="K238" s="122"/>
      <c r="L238" s="122"/>
      <c r="M238" s="126"/>
      <c r="N238" s="126"/>
      <c r="O238" s="126"/>
      <c r="P238" s="126"/>
      <c r="Q238" s="126"/>
    </row>
    <row r="239" spans="1:17" ht="22.5" x14ac:dyDescent="0.25">
      <c r="A239" s="742">
        <v>11</v>
      </c>
      <c r="B239" s="742"/>
      <c r="C239" s="54" t="s">
        <v>676</v>
      </c>
      <c r="D239" s="742" t="s">
        <v>233</v>
      </c>
      <c r="E239" s="128">
        <f t="shared" si="10"/>
        <v>100</v>
      </c>
      <c r="F239" s="742">
        <v>10</v>
      </c>
      <c r="G239" s="61"/>
      <c r="H239" s="123"/>
      <c r="I239" s="61"/>
      <c r="J239" s="125"/>
      <c r="K239" s="122"/>
      <c r="L239" s="122"/>
      <c r="M239" s="126"/>
      <c r="N239" s="126"/>
      <c r="O239" s="126"/>
      <c r="P239" s="126"/>
      <c r="Q239" s="126"/>
    </row>
    <row r="240" spans="1:17" x14ac:dyDescent="0.25">
      <c r="A240" s="742">
        <v>12</v>
      </c>
      <c r="B240" s="742"/>
      <c r="C240" s="54" t="s">
        <v>657</v>
      </c>
      <c r="D240" s="742" t="s">
        <v>23</v>
      </c>
      <c r="E240" s="128">
        <f t="shared" si="10"/>
        <v>6</v>
      </c>
      <c r="F240" s="742">
        <v>0.6</v>
      </c>
      <c r="G240" s="61"/>
      <c r="H240" s="123"/>
      <c r="I240" s="61"/>
      <c r="J240" s="125"/>
      <c r="K240" s="122"/>
      <c r="L240" s="122"/>
      <c r="M240" s="126"/>
      <c r="N240" s="126"/>
      <c r="O240" s="126"/>
      <c r="P240" s="126"/>
      <c r="Q240" s="126"/>
    </row>
    <row r="241" spans="1:17" x14ac:dyDescent="0.25">
      <c r="A241" s="742">
        <v>13</v>
      </c>
      <c r="B241" s="742"/>
      <c r="C241" s="54" t="s">
        <v>238</v>
      </c>
      <c r="D241" s="742" t="s">
        <v>68</v>
      </c>
      <c r="E241" s="128">
        <f t="shared" si="10"/>
        <v>10</v>
      </c>
      <c r="F241" s="742">
        <v>1</v>
      </c>
      <c r="G241" s="61"/>
      <c r="H241" s="123"/>
      <c r="I241" s="61"/>
      <c r="J241" s="125"/>
      <c r="K241" s="122"/>
      <c r="L241" s="122"/>
      <c r="M241" s="126"/>
      <c r="N241" s="126"/>
      <c r="O241" s="126"/>
      <c r="P241" s="126"/>
      <c r="Q241" s="126"/>
    </row>
    <row r="242" spans="1:17" ht="22.5" x14ac:dyDescent="0.25">
      <c r="A242" s="742">
        <v>14</v>
      </c>
      <c r="B242" s="742"/>
      <c r="C242" s="54" t="s">
        <v>671</v>
      </c>
      <c r="D242" s="742" t="s">
        <v>16</v>
      </c>
      <c r="E242" s="128">
        <f t="shared" si="10"/>
        <v>40</v>
      </c>
      <c r="F242" s="742">
        <v>4</v>
      </c>
      <c r="G242" s="61"/>
      <c r="H242" s="123"/>
      <c r="I242" s="61"/>
      <c r="J242" s="125"/>
      <c r="K242" s="122"/>
      <c r="L242" s="122"/>
      <c r="M242" s="126"/>
      <c r="N242" s="126"/>
      <c r="O242" s="126"/>
      <c r="P242" s="126"/>
      <c r="Q242" s="126"/>
    </row>
    <row r="243" spans="1:17" x14ac:dyDescent="0.25">
      <c r="A243" s="742">
        <v>15</v>
      </c>
      <c r="B243" s="742"/>
      <c r="C243" s="54" t="s">
        <v>677</v>
      </c>
      <c r="D243" s="742" t="s">
        <v>233</v>
      </c>
      <c r="E243" s="128">
        <f t="shared" si="10"/>
        <v>20</v>
      </c>
      <c r="F243" s="742">
        <v>2</v>
      </c>
      <c r="G243" s="61"/>
      <c r="H243" s="123"/>
      <c r="I243" s="61"/>
      <c r="J243" s="125"/>
      <c r="K243" s="122"/>
      <c r="L243" s="122"/>
      <c r="M243" s="126"/>
      <c r="N243" s="126"/>
      <c r="O243" s="126"/>
      <c r="P243" s="126"/>
      <c r="Q243" s="126"/>
    </row>
    <row r="244" spans="1:17" x14ac:dyDescent="0.25">
      <c r="A244" s="742">
        <v>16</v>
      </c>
      <c r="B244" s="742"/>
      <c r="C244" s="54" t="s">
        <v>658</v>
      </c>
      <c r="D244" s="742" t="s">
        <v>68</v>
      </c>
      <c r="E244" s="128">
        <f t="shared" si="10"/>
        <v>10</v>
      </c>
      <c r="F244" s="742">
        <v>1</v>
      </c>
      <c r="G244" s="61"/>
      <c r="H244" s="123"/>
      <c r="I244" s="61"/>
      <c r="J244" s="125"/>
      <c r="K244" s="122"/>
      <c r="L244" s="122"/>
      <c r="M244" s="126"/>
      <c r="N244" s="126"/>
      <c r="O244" s="126"/>
      <c r="P244" s="126"/>
      <c r="Q244" s="126"/>
    </row>
    <row r="245" spans="1:17" ht="22.5" x14ac:dyDescent="0.25">
      <c r="A245" s="742">
        <v>17</v>
      </c>
      <c r="B245" s="742"/>
      <c r="C245" s="54" t="s">
        <v>665</v>
      </c>
      <c r="D245" s="742" t="s">
        <v>68</v>
      </c>
      <c r="E245" s="128">
        <f t="shared" si="10"/>
        <v>10</v>
      </c>
      <c r="F245" s="742">
        <v>1</v>
      </c>
      <c r="G245" s="61"/>
      <c r="H245" s="123"/>
      <c r="I245" s="61"/>
      <c r="J245" s="125"/>
      <c r="K245" s="122"/>
      <c r="L245" s="122"/>
      <c r="M245" s="126"/>
      <c r="N245" s="126"/>
      <c r="O245" s="126"/>
      <c r="P245" s="126"/>
      <c r="Q245" s="126"/>
    </row>
    <row r="246" spans="1:17" x14ac:dyDescent="0.25">
      <c r="A246" s="742"/>
      <c r="B246" s="742"/>
      <c r="C246" s="565" t="s">
        <v>685</v>
      </c>
      <c r="D246" s="565"/>
      <c r="E246" s="128"/>
      <c r="F246" s="742"/>
      <c r="G246" s="565"/>
      <c r="H246" s="565"/>
      <c r="I246" s="565"/>
      <c r="J246" s="565"/>
      <c r="K246" s="565"/>
      <c r="L246" s="565"/>
      <c r="M246" s="565"/>
      <c r="N246" s="565"/>
      <c r="O246" s="565"/>
      <c r="P246" s="565"/>
      <c r="Q246" s="565"/>
    </row>
    <row r="247" spans="1:17" ht="15" x14ac:dyDescent="0.25">
      <c r="A247" s="742"/>
      <c r="B247" s="742"/>
      <c r="C247" s="759" t="s">
        <v>763</v>
      </c>
      <c r="D247" s="760"/>
      <c r="E247" s="128"/>
      <c r="F247" s="742"/>
      <c r="G247" s="127"/>
      <c r="H247" s="127"/>
      <c r="I247" s="127"/>
      <c r="J247" s="566"/>
      <c r="K247" s="567"/>
      <c r="L247" s="567"/>
      <c r="M247" s="127"/>
      <c r="N247" s="127"/>
      <c r="O247" s="127"/>
      <c r="P247" s="567"/>
      <c r="Q247" s="567"/>
    </row>
    <row r="248" spans="1:17" ht="33.75" x14ac:dyDescent="0.25">
      <c r="A248" s="742">
        <v>4</v>
      </c>
      <c r="B248" s="742"/>
      <c r="C248" s="809" t="s">
        <v>919</v>
      </c>
      <c r="D248" s="128" t="s">
        <v>68</v>
      </c>
      <c r="E248" s="128">
        <f t="shared" ref="E248:E258" si="11">5*F248</f>
        <v>20</v>
      </c>
      <c r="F248" s="128">
        <v>4</v>
      </c>
      <c r="G248" s="61"/>
      <c r="H248" s="123"/>
      <c r="I248" s="61"/>
      <c r="J248" s="125"/>
      <c r="K248" s="122"/>
      <c r="L248" s="122"/>
      <c r="M248" s="126"/>
      <c r="N248" s="126"/>
      <c r="O248" s="126"/>
      <c r="P248" s="126"/>
      <c r="Q248" s="126"/>
    </row>
    <row r="249" spans="1:17" ht="33.75" x14ac:dyDescent="0.25">
      <c r="A249" s="742">
        <v>5</v>
      </c>
      <c r="B249" s="742"/>
      <c r="C249" s="808" t="s">
        <v>956</v>
      </c>
      <c r="D249" s="742" t="s">
        <v>233</v>
      </c>
      <c r="E249" s="128">
        <f t="shared" si="11"/>
        <v>20</v>
      </c>
      <c r="F249" s="742">
        <v>4</v>
      </c>
      <c r="G249" s="61"/>
      <c r="H249" s="123"/>
      <c r="I249" s="61"/>
      <c r="J249" s="125"/>
      <c r="K249" s="122"/>
      <c r="L249" s="122"/>
      <c r="M249" s="126"/>
      <c r="N249" s="126"/>
      <c r="O249" s="126"/>
      <c r="P249" s="126"/>
      <c r="Q249" s="126"/>
    </row>
    <row r="250" spans="1:17" ht="22.5" x14ac:dyDescent="0.25">
      <c r="A250" s="742">
        <v>6</v>
      </c>
      <c r="B250" s="742"/>
      <c r="C250" s="814" t="s">
        <v>957</v>
      </c>
      <c r="D250" s="742" t="s">
        <v>16</v>
      </c>
      <c r="E250" s="128">
        <f t="shared" si="11"/>
        <v>300</v>
      </c>
      <c r="F250" s="742">
        <v>60</v>
      </c>
      <c r="G250" s="61"/>
      <c r="H250" s="123"/>
      <c r="I250" s="61"/>
      <c r="J250" s="125"/>
      <c r="K250" s="122"/>
      <c r="L250" s="122"/>
      <c r="M250" s="126"/>
      <c r="N250" s="126"/>
      <c r="O250" s="126"/>
      <c r="P250" s="126"/>
      <c r="Q250" s="126"/>
    </row>
    <row r="251" spans="1:17" x14ac:dyDescent="0.25">
      <c r="A251" s="742">
        <v>7</v>
      </c>
      <c r="B251" s="742"/>
      <c r="C251" s="54" t="s">
        <v>674</v>
      </c>
      <c r="D251" s="742" t="s">
        <v>233</v>
      </c>
      <c r="E251" s="128">
        <f t="shared" si="11"/>
        <v>160</v>
      </c>
      <c r="F251" s="742">
        <v>32</v>
      </c>
      <c r="G251" s="61"/>
      <c r="H251" s="123"/>
      <c r="I251" s="61"/>
      <c r="J251" s="125"/>
      <c r="K251" s="122"/>
      <c r="L251" s="122"/>
      <c r="M251" s="126"/>
      <c r="N251" s="126"/>
      <c r="O251" s="126"/>
      <c r="P251" s="126"/>
      <c r="Q251" s="126"/>
    </row>
    <row r="252" spans="1:17" x14ac:dyDescent="0.25">
      <c r="A252" s="742">
        <v>8</v>
      </c>
      <c r="B252" s="742"/>
      <c r="C252" s="54" t="s">
        <v>675</v>
      </c>
      <c r="D252" s="742" t="s">
        <v>233</v>
      </c>
      <c r="E252" s="128">
        <f t="shared" si="11"/>
        <v>30</v>
      </c>
      <c r="F252" s="742">
        <v>6</v>
      </c>
      <c r="G252" s="61"/>
      <c r="H252" s="123"/>
      <c r="I252" s="61"/>
      <c r="J252" s="125"/>
      <c r="K252" s="122"/>
      <c r="L252" s="122"/>
      <c r="M252" s="126"/>
      <c r="N252" s="126"/>
      <c r="O252" s="126"/>
      <c r="P252" s="126"/>
      <c r="Q252" s="126"/>
    </row>
    <row r="253" spans="1:17" x14ac:dyDescent="0.25">
      <c r="A253" s="742">
        <v>9</v>
      </c>
      <c r="B253" s="742"/>
      <c r="C253" s="381" t="s">
        <v>662</v>
      </c>
      <c r="D253" s="742" t="s">
        <v>233</v>
      </c>
      <c r="E253" s="128">
        <f t="shared" si="11"/>
        <v>10</v>
      </c>
      <c r="F253" s="742">
        <v>2</v>
      </c>
      <c r="G253" s="61"/>
      <c r="H253" s="123"/>
      <c r="I253" s="61"/>
      <c r="J253" s="125"/>
      <c r="K253" s="122"/>
      <c r="L253" s="122"/>
      <c r="M253" s="126"/>
      <c r="N253" s="126"/>
      <c r="O253" s="126"/>
      <c r="P253" s="126"/>
      <c r="Q253" s="126"/>
    </row>
    <row r="254" spans="1:17" ht="22.5" x14ac:dyDescent="0.25">
      <c r="A254" s="742">
        <v>10</v>
      </c>
      <c r="B254" s="742"/>
      <c r="C254" s="54" t="s">
        <v>676</v>
      </c>
      <c r="D254" s="742" t="s">
        <v>233</v>
      </c>
      <c r="E254" s="128">
        <f t="shared" si="11"/>
        <v>30</v>
      </c>
      <c r="F254" s="742">
        <v>6</v>
      </c>
      <c r="G254" s="123"/>
      <c r="H254" s="123"/>
      <c r="I254" s="123"/>
      <c r="J254" s="124"/>
      <c r="K254" s="122"/>
      <c r="L254" s="122"/>
      <c r="M254" s="126"/>
      <c r="N254" s="126"/>
      <c r="O254" s="126"/>
      <c r="P254" s="126"/>
      <c r="Q254" s="126"/>
    </row>
    <row r="255" spans="1:17" x14ac:dyDescent="0.25">
      <c r="A255" s="742">
        <v>11</v>
      </c>
      <c r="B255" s="742"/>
      <c r="C255" s="54" t="s">
        <v>657</v>
      </c>
      <c r="D255" s="742" t="s">
        <v>23</v>
      </c>
      <c r="E255" s="128">
        <f t="shared" si="11"/>
        <v>2.5</v>
      </c>
      <c r="F255" s="742">
        <v>0.5</v>
      </c>
      <c r="G255" s="61"/>
      <c r="H255" s="123"/>
      <c r="I255" s="61"/>
      <c r="J255" s="125"/>
      <c r="K255" s="122"/>
      <c r="L255" s="122"/>
      <c r="M255" s="126"/>
      <c r="N255" s="126"/>
      <c r="O255" s="126"/>
      <c r="P255" s="126"/>
      <c r="Q255" s="126"/>
    </row>
    <row r="256" spans="1:17" x14ac:dyDescent="0.25">
      <c r="A256" s="742">
        <v>12</v>
      </c>
      <c r="B256" s="742"/>
      <c r="C256" s="54" t="s">
        <v>238</v>
      </c>
      <c r="D256" s="742" t="s">
        <v>68</v>
      </c>
      <c r="E256" s="128">
        <f t="shared" si="11"/>
        <v>5</v>
      </c>
      <c r="F256" s="742">
        <v>1</v>
      </c>
      <c r="G256" s="61"/>
      <c r="H256" s="123"/>
      <c r="I256" s="61"/>
      <c r="J256" s="125"/>
      <c r="K256" s="122"/>
      <c r="L256" s="122"/>
      <c r="M256" s="126"/>
      <c r="N256" s="126"/>
      <c r="O256" s="126"/>
      <c r="P256" s="126"/>
      <c r="Q256" s="126"/>
    </row>
    <row r="257" spans="1:17" x14ac:dyDescent="0.25">
      <c r="A257" s="742">
        <v>13</v>
      </c>
      <c r="B257" s="742"/>
      <c r="C257" s="54" t="s">
        <v>658</v>
      </c>
      <c r="D257" s="742" t="s">
        <v>68</v>
      </c>
      <c r="E257" s="128">
        <f t="shared" si="11"/>
        <v>5</v>
      </c>
      <c r="F257" s="742">
        <v>1</v>
      </c>
      <c r="G257" s="61"/>
      <c r="H257" s="123"/>
      <c r="I257" s="61"/>
      <c r="J257" s="125"/>
      <c r="K257" s="122"/>
      <c r="L257" s="122"/>
      <c r="M257" s="126"/>
      <c r="N257" s="126"/>
      <c r="O257" s="126"/>
      <c r="P257" s="126"/>
      <c r="Q257" s="126"/>
    </row>
    <row r="258" spans="1:17" ht="22.5" x14ac:dyDescent="0.25">
      <c r="A258" s="742">
        <v>14</v>
      </c>
      <c r="B258" s="742"/>
      <c r="C258" s="54" t="s">
        <v>665</v>
      </c>
      <c r="D258" s="742" t="s">
        <v>68</v>
      </c>
      <c r="E258" s="128">
        <f t="shared" si="11"/>
        <v>5</v>
      </c>
      <c r="F258" s="742">
        <v>1</v>
      </c>
      <c r="G258" s="61"/>
      <c r="H258" s="123"/>
      <c r="I258" s="61"/>
      <c r="J258" s="125"/>
      <c r="K258" s="122"/>
      <c r="L258" s="122"/>
      <c r="M258" s="126"/>
      <c r="N258" s="126"/>
      <c r="O258" s="126"/>
      <c r="P258" s="126"/>
      <c r="Q258" s="126"/>
    </row>
    <row r="259" spans="1:17" x14ac:dyDescent="0.25">
      <c r="A259" s="742"/>
      <c r="B259" s="742"/>
      <c r="C259" s="565" t="s">
        <v>686</v>
      </c>
      <c r="D259" s="565"/>
      <c r="E259" s="128"/>
      <c r="F259" s="742"/>
      <c r="G259" s="61"/>
      <c r="H259" s="123"/>
      <c r="I259" s="61"/>
      <c r="J259" s="125"/>
      <c r="K259" s="122"/>
      <c r="L259" s="122"/>
      <c r="M259" s="126"/>
      <c r="N259" s="126"/>
      <c r="O259" s="126"/>
      <c r="P259" s="126"/>
      <c r="Q259" s="126"/>
    </row>
    <row r="260" spans="1:17" ht="15" x14ac:dyDescent="0.25">
      <c r="A260" s="742"/>
      <c r="B260" s="742"/>
      <c r="C260" s="759" t="s">
        <v>762</v>
      </c>
      <c r="D260" s="760"/>
      <c r="E260" s="128"/>
      <c r="F260" s="565"/>
      <c r="G260" s="564"/>
      <c r="H260" s="107"/>
      <c r="I260" s="107"/>
      <c r="J260" s="107"/>
      <c r="K260" s="107"/>
      <c r="L260" s="107"/>
      <c r="M260" s="107"/>
      <c r="N260" s="107"/>
      <c r="O260" s="564"/>
      <c r="P260" s="107"/>
      <c r="Q260" s="564"/>
    </row>
    <row r="261" spans="1:17" ht="33.75" x14ac:dyDescent="0.25">
      <c r="A261" s="742">
        <v>5</v>
      </c>
      <c r="B261" s="742"/>
      <c r="C261" s="809" t="s">
        <v>919</v>
      </c>
      <c r="D261" s="128" t="s">
        <v>68</v>
      </c>
      <c r="E261" s="128">
        <f t="shared" ref="E261:E273" si="12">10*F261</f>
        <v>50</v>
      </c>
      <c r="F261" s="742">
        <v>5</v>
      </c>
      <c r="G261" s="61"/>
      <c r="H261" s="123"/>
      <c r="I261" s="61"/>
      <c r="J261" s="125"/>
      <c r="K261" s="122"/>
      <c r="L261" s="122"/>
      <c r="M261" s="126"/>
      <c r="N261" s="126"/>
      <c r="O261" s="126"/>
      <c r="P261" s="126"/>
      <c r="Q261" s="126"/>
    </row>
    <row r="262" spans="1:17" ht="33.75" x14ac:dyDescent="0.25">
      <c r="A262" s="742">
        <v>6</v>
      </c>
      <c r="B262" s="742"/>
      <c r="C262" s="808" t="s">
        <v>956</v>
      </c>
      <c r="D262" s="742" t="s">
        <v>233</v>
      </c>
      <c r="E262" s="128">
        <f t="shared" si="12"/>
        <v>50</v>
      </c>
      <c r="F262" s="742">
        <v>5</v>
      </c>
      <c r="G262" s="61"/>
      <c r="H262" s="123"/>
      <c r="I262" s="61"/>
      <c r="J262" s="125"/>
      <c r="K262" s="122"/>
      <c r="L262" s="122"/>
      <c r="M262" s="126"/>
      <c r="N262" s="126"/>
      <c r="O262" s="126"/>
      <c r="P262" s="126"/>
      <c r="Q262" s="126"/>
    </row>
    <row r="263" spans="1:17" ht="22.5" x14ac:dyDescent="0.25">
      <c r="A263" s="742">
        <v>7</v>
      </c>
      <c r="B263" s="742"/>
      <c r="C263" s="814" t="s">
        <v>957</v>
      </c>
      <c r="D263" s="742" t="s">
        <v>16</v>
      </c>
      <c r="E263" s="128">
        <f t="shared" si="12"/>
        <v>800</v>
      </c>
      <c r="F263" s="742">
        <v>80</v>
      </c>
      <c r="G263" s="61"/>
      <c r="H263" s="123"/>
      <c r="I263" s="61"/>
      <c r="J263" s="125"/>
      <c r="K263" s="122"/>
      <c r="L263" s="122"/>
      <c r="M263" s="126"/>
      <c r="N263" s="126"/>
      <c r="O263" s="126"/>
      <c r="P263" s="126"/>
      <c r="Q263" s="126"/>
    </row>
    <row r="264" spans="1:17" x14ac:dyDescent="0.25">
      <c r="A264" s="742">
        <v>8</v>
      </c>
      <c r="B264" s="742"/>
      <c r="C264" s="54" t="s">
        <v>674</v>
      </c>
      <c r="D264" s="742" t="s">
        <v>233</v>
      </c>
      <c r="E264" s="128">
        <f t="shared" si="12"/>
        <v>340</v>
      </c>
      <c r="F264" s="742">
        <v>34</v>
      </c>
      <c r="G264" s="61"/>
      <c r="H264" s="123"/>
      <c r="I264" s="61"/>
      <c r="J264" s="125"/>
      <c r="K264" s="122"/>
      <c r="L264" s="122"/>
      <c r="M264" s="126"/>
      <c r="N264" s="126"/>
      <c r="O264" s="126"/>
      <c r="P264" s="126"/>
      <c r="Q264" s="126"/>
    </row>
    <row r="265" spans="1:17" x14ac:dyDescent="0.25">
      <c r="A265" s="742">
        <v>9</v>
      </c>
      <c r="B265" s="742"/>
      <c r="C265" s="54" t="s">
        <v>675</v>
      </c>
      <c r="D265" s="742" t="s">
        <v>233</v>
      </c>
      <c r="E265" s="128">
        <f t="shared" si="12"/>
        <v>60</v>
      </c>
      <c r="F265" s="742">
        <v>6</v>
      </c>
      <c r="G265" s="61"/>
      <c r="H265" s="123"/>
      <c r="I265" s="61"/>
      <c r="J265" s="125"/>
      <c r="K265" s="122"/>
      <c r="L265" s="122"/>
      <c r="M265" s="126"/>
      <c r="N265" s="126"/>
      <c r="O265" s="126"/>
      <c r="P265" s="126"/>
      <c r="Q265" s="126"/>
    </row>
    <row r="266" spans="1:17" x14ac:dyDescent="0.25">
      <c r="A266" s="742">
        <v>10</v>
      </c>
      <c r="B266" s="742"/>
      <c r="C266" s="381" t="s">
        <v>662</v>
      </c>
      <c r="D266" s="742" t="s">
        <v>233</v>
      </c>
      <c r="E266" s="128">
        <f t="shared" si="12"/>
        <v>20</v>
      </c>
      <c r="F266" s="742">
        <v>2</v>
      </c>
      <c r="G266" s="123"/>
      <c r="H266" s="123"/>
      <c r="I266" s="123"/>
      <c r="J266" s="124"/>
      <c r="K266" s="122"/>
      <c r="L266" s="122"/>
      <c r="M266" s="126"/>
      <c r="N266" s="126"/>
      <c r="O266" s="126"/>
      <c r="P266" s="126"/>
      <c r="Q266" s="126"/>
    </row>
    <row r="267" spans="1:17" ht="22.5" x14ac:dyDescent="0.25">
      <c r="A267" s="742">
        <v>11</v>
      </c>
      <c r="B267" s="742"/>
      <c r="C267" s="54" t="s">
        <v>676</v>
      </c>
      <c r="D267" s="742" t="s">
        <v>233</v>
      </c>
      <c r="E267" s="128">
        <f t="shared" si="12"/>
        <v>60</v>
      </c>
      <c r="F267" s="742">
        <v>6</v>
      </c>
      <c r="G267" s="61"/>
      <c r="H267" s="123"/>
      <c r="I267" s="61"/>
      <c r="J267" s="125"/>
      <c r="K267" s="122"/>
      <c r="L267" s="122"/>
      <c r="M267" s="126"/>
      <c r="N267" s="126"/>
      <c r="O267" s="126"/>
      <c r="P267" s="126"/>
      <c r="Q267" s="126"/>
    </row>
    <row r="268" spans="1:17" x14ac:dyDescent="0.25">
      <c r="A268" s="742">
        <v>12</v>
      </c>
      <c r="B268" s="742"/>
      <c r="C268" s="54" t="s">
        <v>657</v>
      </c>
      <c r="D268" s="742" t="s">
        <v>23</v>
      </c>
      <c r="E268" s="128">
        <f t="shared" si="12"/>
        <v>6</v>
      </c>
      <c r="F268" s="742">
        <v>0.6</v>
      </c>
      <c r="G268" s="61"/>
      <c r="H268" s="123"/>
      <c r="I268" s="61"/>
      <c r="J268" s="125"/>
      <c r="K268" s="122"/>
      <c r="L268" s="122"/>
      <c r="M268" s="126"/>
      <c r="N268" s="126"/>
      <c r="O268" s="126"/>
      <c r="P268" s="126"/>
      <c r="Q268" s="126"/>
    </row>
    <row r="269" spans="1:17" x14ac:dyDescent="0.25">
      <c r="A269" s="742">
        <v>13</v>
      </c>
      <c r="B269" s="742"/>
      <c r="C269" s="54" t="s">
        <v>238</v>
      </c>
      <c r="D269" s="742" t="s">
        <v>68</v>
      </c>
      <c r="E269" s="128">
        <f t="shared" si="12"/>
        <v>10</v>
      </c>
      <c r="F269" s="742">
        <v>1</v>
      </c>
      <c r="G269" s="61"/>
      <c r="H269" s="123"/>
      <c r="I269" s="61"/>
      <c r="J269" s="125"/>
      <c r="K269" s="122"/>
      <c r="L269" s="122"/>
      <c r="M269" s="126"/>
      <c r="N269" s="126"/>
      <c r="O269" s="126"/>
      <c r="P269" s="126"/>
      <c r="Q269" s="126"/>
    </row>
    <row r="270" spans="1:17" ht="22.5" x14ac:dyDescent="0.25">
      <c r="A270" s="742">
        <v>14</v>
      </c>
      <c r="B270" s="742"/>
      <c r="C270" s="54" t="s">
        <v>671</v>
      </c>
      <c r="D270" s="742" t="s">
        <v>16</v>
      </c>
      <c r="E270" s="128">
        <f t="shared" si="12"/>
        <v>40</v>
      </c>
      <c r="F270" s="742">
        <v>4</v>
      </c>
      <c r="G270" s="61"/>
      <c r="H270" s="123"/>
      <c r="I270" s="61"/>
      <c r="J270" s="125"/>
      <c r="K270" s="122"/>
      <c r="L270" s="122"/>
      <c r="M270" s="126"/>
      <c r="N270" s="126"/>
      <c r="O270" s="126"/>
      <c r="P270" s="126"/>
      <c r="Q270" s="126"/>
    </row>
    <row r="271" spans="1:17" x14ac:dyDescent="0.25">
      <c r="A271" s="742">
        <v>15</v>
      </c>
      <c r="B271" s="742"/>
      <c r="C271" s="54" t="s">
        <v>677</v>
      </c>
      <c r="D271" s="742" t="s">
        <v>233</v>
      </c>
      <c r="E271" s="128">
        <f t="shared" si="12"/>
        <v>20</v>
      </c>
      <c r="F271" s="742">
        <v>2</v>
      </c>
      <c r="G271" s="61"/>
      <c r="H271" s="123"/>
      <c r="I271" s="61"/>
      <c r="J271" s="125"/>
      <c r="K271" s="122"/>
      <c r="L271" s="122"/>
      <c r="M271" s="126"/>
      <c r="N271" s="126"/>
      <c r="O271" s="126"/>
      <c r="P271" s="126"/>
      <c r="Q271" s="126"/>
    </row>
    <row r="272" spans="1:17" x14ac:dyDescent="0.25">
      <c r="A272" s="742">
        <v>16</v>
      </c>
      <c r="B272" s="742"/>
      <c r="C272" s="54" t="s">
        <v>658</v>
      </c>
      <c r="D272" s="742" t="s">
        <v>68</v>
      </c>
      <c r="E272" s="128">
        <f t="shared" si="12"/>
        <v>10</v>
      </c>
      <c r="F272" s="742">
        <v>1</v>
      </c>
      <c r="G272" s="61"/>
      <c r="H272" s="123"/>
      <c r="I272" s="61"/>
      <c r="J272" s="125"/>
      <c r="K272" s="122"/>
      <c r="L272" s="122"/>
      <c r="M272" s="126"/>
      <c r="N272" s="126"/>
      <c r="O272" s="126"/>
      <c r="P272" s="126"/>
      <c r="Q272" s="126"/>
    </row>
    <row r="273" spans="1:17" ht="22.5" x14ac:dyDescent="0.25">
      <c r="A273" s="742">
        <v>17</v>
      </c>
      <c r="B273" s="742"/>
      <c r="C273" s="54" t="s">
        <v>665</v>
      </c>
      <c r="D273" s="742" t="s">
        <v>68</v>
      </c>
      <c r="E273" s="128">
        <f t="shared" si="12"/>
        <v>10</v>
      </c>
      <c r="F273" s="742">
        <v>1</v>
      </c>
      <c r="G273" s="61"/>
      <c r="H273" s="123"/>
      <c r="I273" s="61"/>
      <c r="J273" s="125"/>
      <c r="K273" s="122"/>
      <c r="L273" s="122"/>
      <c r="M273" s="126"/>
      <c r="N273" s="126"/>
      <c r="O273" s="126"/>
      <c r="P273" s="126"/>
      <c r="Q273" s="126"/>
    </row>
    <row r="274" spans="1:17" x14ac:dyDescent="0.25">
      <c r="A274" s="742"/>
      <c r="B274" s="742"/>
      <c r="C274" s="565" t="s">
        <v>687</v>
      </c>
      <c r="D274" s="565"/>
      <c r="E274" s="128"/>
      <c r="F274" s="742"/>
      <c r="G274" s="565"/>
      <c r="H274" s="565"/>
      <c r="I274" s="565"/>
      <c r="J274" s="565"/>
      <c r="K274" s="565"/>
      <c r="L274" s="565"/>
      <c r="M274" s="565"/>
      <c r="N274" s="565"/>
      <c r="O274" s="565"/>
      <c r="P274" s="565"/>
      <c r="Q274" s="565"/>
    </row>
    <row r="275" spans="1:17" ht="15" x14ac:dyDescent="0.25">
      <c r="A275" s="742"/>
      <c r="B275" s="742"/>
      <c r="C275" s="759" t="s">
        <v>764</v>
      </c>
      <c r="D275" s="760"/>
      <c r="E275" s="128"/>
      <c r="F275" s="742"/>
      <c r="G275" s="127"/>
      <c r="H275" s="127"/>
      <c r="I275" s="127"/>
      <c r="J275" s="566"/>
      <c r="K275" s="567"/>
      <c r="L275" s="567"/>
      <c r="M275" s="127"/>
      <c r="N275" s="127"/>
      <c r="O275" s="127"/>
      <c r="P275" s="567"/>
      <c r="Q275" s="567"/>
    </row>
    <row r="276" spans="1:17" ht="33.75" x14ac:dyDescent="0.25">
      <c r="A276" s="742">
        <v>4</v>
      </c>
      <c r="B276" s="742"/>
      <c r="C276" s="809" t="s">
        <v>919</v>
      </c>
      <c r="D276" s="128" t="s">
        <v>68</v>
      </c>
      <c r="E276" s="128">
        <f t="shared" ref="E276:E288" si="13">4*F276</f>
        <v>24</v>
      </c>
      <c r="F276" s="128">
        <v>6</v>
      </c>
      <c r="G276" s="61"/>
      <c r="H276" s="123"/>
      <c r="I276" s="61"/>
      <c r="J276" s="125"/>
      <c r="K276" s="122"/>
      <c r="L276" s="122"/>
      <c r="M276" s="126"/>
      <c r="N276" s="126"/>
      <c r="O276" s="126"/>
      <c r="P276" s="126"/>
      <c r="Q276" s="126"/>
    </row>
    <row r="277" spans="1:17" ht="33.75" x14ac:dyDescent="0.25">
      <c r="A277" s="742">
        <v>5</v>
      </c>
      <c r="B277" s="742"/>
      <c r="C277" s="808" t="s">
        <v>956</v>
      </c>
      <c r="D277" s="742" t="s">
        <v>233</v>
      </c>
      <c r="E277" s="128">
        <f t="shared" si="13"/>
        <v>24</v>
      </c>
      <c r="F277" s="742">
        <v>6</v>
      </c>
      <c r="G277" s="61"/>
      <c r="H277" s="123"/>
      <c r="I277" s="61"/>
      <c r="J277" s="125"/>
      <c r="K277" s="122"/>
      <c r="L277" s="122"/>
      <c r="M277" s="126"/>
      <c r="N277" s="126"/>
      <c r="O277" s="126"/>
      <c r="P277" s="126"/>
      <c r="Q277" s="126"/>
    </row>
    <row r="278" spans="1:17" ht="22.5" x14ac:dyDescent="0.25">
      <c r="A278" s="742">
        <v>6</v>
      </c>
      <c r="B278" s="742"/>
      <c r="C278" s="814" t="s">
        <v>957</v>
      </c>
      <c r="D278" s="742" t="s">
        <v>16</v>
      </c>
      <c r="E278" s="128">
        <f t="shared" si="13"/>
        <v>280</v>
      </c>
      <c r="F278" s="742">
        <v>70</v>
      </c>
      <c r="G278" s="61"/>
      <c r="H278" s="123"/>
      <c r="I278" s="61"/>
      <c r="J278" s="125"/>
      <c r="K278" s="122"/>
      <c r="L278" s="122"/>
      <c r="M278" s="126"/>
      <c r="N278" s="126"/>
      <c r="O278" s="126"/>
      <c r="P278" s="126"/>
      <c r="Q278" s="126"/>
    </row>
    <row r="279" spans="1:17" x14ac:dyDescent="0.25">
      <c r="A279" s="742">
        <v>7</v>
      </c>
      <c r="B279" s="742"/>
      <c r="C279" s="54" t="s">
        <v>674</v>
      </c>
      <c r="D279" s="742" t="s">
        <v>233</v>
      </c>
      <c r="E279" s="128">
        <f t="shared" si="13"/>
        <v>168</v>
      </c>
      <c r="F279" s="742">
        <v>42</v>
      </c>
      <c r="G279" s="61"/>
      <c r="H279" s="123"/>
      <c r="I279" s="61"/>
      <c r="J279" s="125"/>
      <c r="K279" s="122"/>
      <c r="L279" s="122"/>
      <c r="M279" s="126"/>
      <c r="N279" s="126"/>
      <c r="O279" s="126"/>
      <c r="P279" s="126"/>
      <c r="Q279" s="126"/>
    </row>
    <row r="280" spans="1:17" x14ac:dyDescent="0.25">
      <c r="A280" s="742">
        <v>8</v>
      </c>
      <c r="B280" s="742"/>
      <c r="C280" s="54" t="s">
        <v>675</v>
      </c>
      <c r="D280" s="742" t="s">
        <v>233</v>
      </c>
      <c r="E280" s="128">
        <f t="shared" si="13"/>
        <v>32</v>
      </c>
      <c r="F280" s="742">
        <v>8</v>
      </c>
      <c r="G280" s="61"/>
      <c r="H280" s="123"/>
      <c r="I280" s="61"/>
      <c r="J280" s="125"/>
      <c r="K280" s="122"/>
      <c r="L280" s="122"/>
      <c r="M280" s="126"/>
      <c r="N280" s="126"/>
      <c r="O280" s="126"/>
      <c r="P280" s="126"/>
      <c r="Q280" s="126"/>
    </row>
    <row r="281" spans="1:17" x14ac:dyDescent="0.25">
      <c r="A281" s="742">
        <v>9</v>
      </c>
      <c r="B281" s="742"/>
      <c r="C281" s="381" t="s">
        <v>662</v>
      </c>
      <c r="D281" s="742" t="s">
        <v>233</v>
      </c>
      <c r="E281" s="128">
        <f t="shared" si="13"/>
        <v>8</v>
      </c>
      <c r="F281" s="742">
        <v>2</v>
      </c>
      <c r="G281" s="61"/>
      <c r="H281" s="123"/>
      <c r="I281" s="61"/>
      <c r="J281" s="125"/>
      <c r="K281" s="122"/>
      <c r="L281" s="122"/>
      <c r="M281" s="126"/>
      <c r="N281" s="126"/>
      <c r="O281" s="126"/>
      <c r="P281" s="126"/>
      <c r="Q281" s="126"/>
    </row>
    <row r="282" spans="1:17" ht="22.5" x14ac:dyDescent="0.25">
      <c r="A282" s="742">
        <v>10</v>
      </c>
      <c r="B282" s="742"/>
      <c r="C282" s="54" t="s">
        <v>676</v>
      </c>
      <c r="D282" s="742" t="s">
        <v>233</v>
      </c>
      <c r="E282" s="128">
        <f t="shared" si="13"/>
        <v>32</v>
      </c>
      <c r="F282" s="742">
        <v>8</v>
      </c>
      <c r="G282" s="123"/>
      <c r="H282" s="123"/>
      <c r="I282" s="123"/>
      <c r="J282" s="124"/>
      <c r="K282" s="122"/>
      <c r="L282" s="122"/>
      <c r="M282" s="126"/>
      <c r="N282" s="126"/>
      <c r="O282" s="126"/>
      <c r="P282" s="126"/>
      <c r="Q282" s="126"/>
    </row>
    <row r="283" spans="1:17" x14ac:dyDescent="0.25">
      <c r="A283" s="742">
        <v>11</v>
      </c>
      <c r="B283" s="742"/>
      <c r="C283" s="54" t="s">
        <v>657</v>
      </c>
      <c r="D283" s="742" t="s">
        <v>23</v>
      </c>
      <c r="E283" s="128">
        <f t="shared" si="13"/>
        <v>2.4</v>
      </c>
      <c r="F283" s="742">
        <v>0.6</v>
      </c>
      <c r="G283" s="61"/>
      <c r="H283" s="123"/>
      <c r="I283" s="61"/>
      <c r="J283" s="125"/>
      <c r="K283" s="122"/>
      <c r="L283" s="122"/>
      <c r="M283" s="126"/>
      <c r="N283" s="126"/>
      <c r="O283" s="126"/>
      <c r="P283" s="126"/>
      <c r="Q283" s="126"/>
    </row>
    <row r="284" spans="1:17" x14ac:dyDescent="0.25">
      <c r="A284" s="742">
        <v>12</v>
      </c>
      <c r="B284" s="742"/>
      <c r="C284" s="54" t="s">
        <v>238</v>
      </c>
      <c r="D284" s="742" t="s">
        <v>68</v>
      </c>
      <c r="E284" s="128">
        <f t="shared" si="13"/>
        <v>4</v>
      </c>
      <c r="F284" s="742">
        <v>1</v>
      </c>
      <c r="G284" s="61"/>
      <c r="H284" s="123"/>
      <c r="I284" s="61"/>
      <c r="J284" s="125"/>
      <c r="K284" s="122"/>
      <c r="L284" s="122"/>
      <c r="M284" s="126"/>
      <c r="N284" s="126"/>
      <c r="O284" s="126"/>
      <c r="P284" s="126"/>
      <c r="Q284" s="126"/>
    </row>
    <row r="285" spans="1:17" ht="22.5" x14ac:dyDescent="0.25">
      <c r="A285" s="742">
        <v>13</v>
      </c>
      <c r="B285" s="742"/>
      <c r="C285" s="54" t="s">
        <v>671</v>
      </c>
      <c r="D285" s="742" t="s">
        <v>16</v>
      </c>
      <c r="E285" s="128">
        <f t="shared" si="13"/>
        <v>16</v>
      </c>
      <c r="F285" s="742">
        <v>4</v>
      </c>
      <c r="G285" s="61"/>
      <c r="H285" s="123"/>
      <c r="I285" s="61"/>
      <c r="J285" s="125"/>
      <c r="K285" s="122"/>
      <c r="L285" s="122"/>
      <c r="M285" s="126"/>
      <c r="N285" s="126"/>
      <c r="O285" s="126"/>
      <c r="P285" s="126"/>
      <c r="Q285" s="126"/>
    </row>
    <row r="286" spans="1:17" x14ac:dyDescent="0.25">
      <c r="A286" s="742">
        <v>14</v>
      </c>
      <c r="B286" s="742"/>
      <c r="C286" s="54" t="s">
        <v>677</v>
      </c>
      <c r="D286" s="742" t="s">
        <v>233</v>
      </c>
      <c r="E286" s="128">
        <f t="shared" si="13"/>
        <v>8</v>
      </c>
      <c r="F286" s="742">
        <v>2</v>
      </c>
      <c r="G286" s="61"/>
      <c r="H286" s="123"/>
      <c r="I286" s="61"/>
      <c r="J286" s="125"/>
      <c r="K286" s="122"/>
      <c r="L286" s="122"/>
      <c r="M286" s="126"/>
      <c r="N286" s="126"/>
      <c r="O286" s="126"/>
      <c r="P286" s="126"/>
      <c r="Q286" s="126"/>
    </row>
    <row r="287" spans="1:17" x14ac:dyDescent="0.25">
      <c r="A287" s="742">
        <v>15</v>
      </c>
      <c r="B287" s="742"/>
      <c r="C287" s="54" t="s">
        <v>658</v>
      </c>
      <c r="D287" s="742" t="s">
        <v>68</v>
      </c>
      <c r="E287" s="128">
        <f t="shared" si="13"/>
        <v>4</v>
      </c>
      <c r="F287" s="742">
        <v>1</v>
      </c>
      <c r="G287" s="61"/>
      <c r="H287" s="123"/>
      <c r="I287" s="61"/>
      <c r="J287" s="125"/>
      <c r="K287" s="122"/>
      <c r="L287" s="122"/>
      <c r="M287" s="126"/>
      <c r="N287" s="126"/>
      <c r="O287" s="126"/>
      <c r="P287" s="126"/>
      <c r="Q287" s="126"/>
    </row>
    <row r="288" spans="1:17" ht="22.5" x14ac:dyDescent="0.25">
      <c r="A288" s="742">
        <v>16</v>
      </c>
      <c r="B288" s="742"/>
      <c r="C288" s="54" t="s">
        <v>665</v>
      </c>
      <c r="D288" s="742" t="s">
        <v>68</v>
      </c>
      <c r="E288" s="128">
        <f t="shared" si="13"/>
        <v>4</v>
      </c>
      <c r="F288" s="742">
        <v>1</v>
      </c>
      <c r="G288" s="61"/>
      <c r="H288" s="123"/>
      <c r="I288" s="61"/>
      <c r="J288" s="125"/>
      <c r="K288" s="122"/>
      <c r="L288" s="122"/>
      <c r="M288" s="126"/>
      <c r="N288" s="126"/>
      <c r="O288" s="126"/>
      <c r="P288" s="126"/>
      <c r="Q288" s="126"/>
    </row>
    <row r="289" spans="1:17" x14ac:dyDescent="0.25">
      <c r="A289" s="742"/>
      <c r="B289" s="742"/>
      <c r="C289" s="565" t="s">
        <v>688</v>
      </c>
      <c r="D289" s="565"/>
      <c r="E289" s="128"/>
      <c r="F289" s="565"/>
      <c r="G289" s="564"/>
      <c r="H289" s="107"/>
      <c r="I289" s="107"/>
      <c r="J289" s="107"/>
      <c r="K289" s="107"/>
      <c r="L289" s="107"/>
      <c r="M289" s="107"/>
      <c r="N289" s="107"/>
      <c r="O289" s="564"/>
      <c r="P289" s="107"/>
      <c r="Q289" s="564"/>
    </row>
    <row r="290" spans="1:17" ht="15" x14ac:dyDescent="0.25">
      <c r="A290" s="742"/>
      <c r="B290" s="742"/>
      <c r="C290" s="759" t="s">
        <v>765</v>
      </c>
      <c r="D290" s="760"/>
      <c r="E290" s="128"/>
      <c r="F290" s="742"/>
      <c r="G290" s="565"/>
      <c r="H290" s="565"/>
      <c r="I290" s="565"/>
      <c r="J290" s="565"/>
      <c r="K290" s="565"/>
      <c r="L290" s="565"/>
      <c r="M290" s="565"/>
      <c r="N290" s="565"/>
      <c r="O290" s="565"/>
      <c r="P290" s="565"/>
      <c r="Q290" s="565"/>
    </row>
    <row r="291" spans="1:17" ht="33.75" x14ac:dyDescent="0.25">
      <c r="A291" s="742">
        <v>4</v>
      </c>
      <c r="B291" s="742"/>
      <c r="C291" s="809" t="s">
        <v>919</v>
      </c>
      <c r="D291" s="128" t="s">
        <v>68</v>
      </c>
      <c r="E291" s="128">
        <f>5*F291</f>
        <v>25</v>
      </c>
      <c r="F291" s="128">
        <v>5</v>
      </c>
      <c r="G291" s="61"/>
      <c r="H291" s="123"/>
      <c r="I291" s="61"/>
      <c r="J291" s="125"/>
      <c r="K291" s="122"/>
      <c r="L291" s="122"/>
      <c r="M291" s="126"/>
      <c r="N291" s="126"/>
      <c r="O291" s="126"/>
      <c r="P291" s="126"/>
      <c r="Q291" s="126"/>
    </row>
    <row r="292" spans="1:17" ht="33.75" x14ac:dyDescent="0.25">
      <c r="A292" s="742">
        <v>5</v>
      </c>
      <c r="B292" s="742"/>
      <c r="C292" s="808" t="s">
        <v>956</v>
      </c>
      <c r="D292" s="742" t="s">
        <v>233</v>
      </c>
      <c r="E292" s="128">
        <f t="shared" ref="E292:E303" si="14">5*F292</f>
        <v>25</v>
      </c>
      <c r="F292" s="742">
        <v>5</v>
      </c>
      <c r="G292" s="61"/>
      <c r="H292" s="123"/>
      <c r="I292" s="61"/>
      <c r="J292" s="125"/>
      <c r="K292" s="122"/>
      <c r="L292" s="122"/>
      <c r="M292" s="126"/>
      <c r="N292" s="126"/>
      <c r="O292" s="126"/>
      <c r="P292" s="126"/>
      <c r="Q292" s="126"/>
    </row>
    <row r="293" spans="1:17" ht="22.5" x14ac:dyDescent="0.25">
      <c r="A293" s="742">
        <v>6</v>
      </c>
      <c r="B293" s="742"/>
      <c r="C293" s="814" t="s">
        <v>957</v>
      </c>
      <c r="D293" s="742" t="s">
        <v>16</v>
      </c>
      <c r="E293" s="128">
        <f t="shared" si="14"/>
        <v>400</v>
      </c>
      <c r="F293" s="742">
        <v>80</v>
      </c>
      <c r="G293" s="61"/>
      <c r="H293" s="123"/>
      <c r="I293" s="61"/>
      <c r="J293" s="125"/>
      <c r="K293" s="122"/>
      <c r="L293" s="122"/>
      <c r="M293" s="126"/>
      <c r="N293" s="126"/>
      <c r="O293" s="126"/>
      <c r="P293" s="126"/>
      <c r="Q293" s="126"/>
    </row>
    <row r="294" spans="1:17" x14ac:dyDescent="0.25">
      <c r="A294" s="742">
        <v>7</v>
      </c>
      <c r="B294" s="742"/>
      <c r="C294" s="54" t="s">
        <v>674</v>
      </c>
      <c r="D294" s="742" t="s">
        <v>233</v>
      </c>
      <c r="E294" s="128">
        <f t="shared" si="14"/>
        <v>170</v>
      </c>
      <c r="F294" s="742">
        <v>34</v>
      </c>
      <c r="G294" s="61"/>
      <c r="H294" s="123"/>
      <c r="I294" s="61"/>
      <c r="J294" s="125"/>
      <c r="K294" s="122"/>
      <c r="L294" s="122"/>
      <c r="M294" s="126"/>
      <c r="N294" s="126"/>
      <c r="O294" s="126"/>
      <c r="P294" s="126"/>
      <c r="Q294" s="126"/>
    </row>
    <row r="295" spans="1:17" x14ac:dyDescent="0.25">
      <c r="A295" s="742">
        <v>8</v>
      </c>
      <c r="B295" s="742"/>
      <c r="C295" s="54" t="s">
        <v>675</v>
      </c>
      <c r="D295" s="742" t="s">
        <v>233</v>
      </c>
      <c r="E295" s="128">
        <f t="shared" si="14"/>
        <v>30</v>
      </c>
      <c r="F295" s="742">
        <v>6</v>
      </c>
      <c r="G295" s="61"/>
      <c r="H295" s="123"/>
      <c r="I295" s="61"/>
      <c r="J295" s="125"/>
      <c r="K295" s="122"/>
      <c r="L295" s="122"/>
      <c r="M295" s="126"/>
      <c r="N295" s="126"/>
      <c r="O295" s="126"/>
      <c r="P295" s="126"/>
      <c r="Q295" s="126"/>
    </row>
    <row r="296" spans="1:17" x14ac:dyDescent="0.25">
      <c r="A296" s="742">
        <v>9</v>
      </c>
      <c r="B296" s="742"/>
      <c r="C296" s="381" t="s">
        <v>662</v>
      </c>
      <c r="D296" s="742" t="s">
        <v>233</v>
      </c>
      <c r="E296" s="128">
        <f t="shared" si="14"/>
        <v>10</v>
      </c>
      <c r="F296" s="742">
        <v>2</v>
      </c>
      <c r="G296" s="61"/>
      <c r="H296" s="123"/>
      <c r="I296" s="61"/>
      <c r="J296" s="125"/>
      <c r="K296" s="122"/>
      <c r="L296" s="122"/>
      <c r="M296" s="126"/>
      <c r="N296" s="126"/>
      <c r="O296" s="126"/>
      <c r="P296" s="126"/>
      <c r="Q296" s="126"/>
    </row>
    <row r="297" spans="1:17" ht="22.5" x14ac:dyDescent="0.25">
      <c r="A297" s="742">
        <v>10</v>
      </c>
      <c r="B297" s="742"/>
      <c r="C297" s="54" t="s">
        <v>676</v>
      </c>
      <c r="D297" s="742" t="s">
        <v>233</v>
      </c>
      <c r="E297" s="128">
        <f t="shared" si="14"/>
        <v>45</v>
      </c>
      <c r="F297" s="742">
        <v>9</v>
      </c>
      <c r="G297" s="123"/>
      <c r="H297" s="123"/>
      <c r="I297" s="123"/>
      <c r="J297" s="124"/>
      <c r="K297" s="122"/>
      <c r="L297" s="122"/>
      <c r="M297" s="126"/>
      <c r="N297" s="126"/>
      <c r="O297" s="126"/>
      <c r="P297" s="126"/>
      <c r="Q297" s="126"/>
    </row>
    <row r="298" spans="1:17" x14ac:dyDescent="0.25">
      <c r="A298" s="742">
        <v>11</v>
      </c>
      <c r="B298" s="742"/>
      <c r="C298" s="54" t="s">
        <v>657</v>
      </c>
      <c r="D298" s="742" t="s">
        <v>23</v>
      </c>
      <c r="E298" s="128">
        <f t="shared" si="14"/>
        <v>3</v>
      </c>
      <c r="F298" s="742">
        <v>0.6</v>
      </c>
      <c r="G298" s="61"/>
      <c r="H298" s="123"/>
      <c r="I298" s="61"/>
      <c r="J298" s="125"/>
      <c r="K298" s="122"/>
      <c r="L298" s="122"/>
      <c r="M298" s="126"/>
      <c r="N298" s="126"/>
      <c r="O298" s="126"/>
      <c r="P298" s="126"/>
      <c r="Q298" s="126"/>
    </row>
    <row r="299" spans="1:17" x14ac:dyDescent="0.25">
      <c r="A299" s="742">
        <v>12</v>
      </c>
      <c r="B299" s="742"/>
      <c r="C299" s="54" t="s">
        <v>238</v>
      </c>
      <c r="D299" s="742" t="s">
        <v>68</v>
      </c>
      <c r="E299" s="128">
        <f t="shared" si="14"/>
        <v>5</v>
      </c>
      <c r="F299" s="742">
        <v>1</v>
      </c>
      <c r="G299" s="61"/>
      <c r="H299" s="123"/>
      <c r="I299" s="61"/>
      <c r="J299" s="125"/>
      <c r="K299" s="122"/>
      <c r="L299" s="122"/>
      <c r="M299" s="126"/>
      <c r="N299" s="126"/>
      <c r="O299" s="126"/>
      <c r="P299" s="126"/>
      <c r="Q299" s="126"/>
    </row>
    <row r="300" spans="1:17" ht="22.5" x14ac:dyDescent="0.25">
      <c r="A300" s="742">
        <v>13</v>
      </c>
      <c r="B300" s="742"/>
      <c r="C300" s="54" t="s">
        <v>671</v>
      </c>
      <c r="D300" s="742" t="s">
        <v>16</v>
      </c>
      <c r="E300" s="128">
        <f t="shared" si="14"/>
        <v>20</v>
      </c>
      <c r="F300" s="742">
        <v>4</v>
      </c>
      <c r="G300" s="61"/>
      <c r="H300" s="123"/>
      <c r="I300" s="61"/>
      <c r="J300" s="125"/>
      <c r="K300" s="122"/>
      <c r="L300" s="122"/>
      <c r="M300" s="126"/>
      <c r="N300" s="126"/>
      <c r="O300" s="126"/>
      <c r="P300" s="126"/>
      <c r="Q300" s="126"/>
    </row>
    <row r="301" spans="1:17" x14ac:dyDescent="0.25">
      <c r="A301" s="742">
        <v>14</v>
      </c>
      <c r="B301" s="742"/>
      <c r="C301" s="54" t="s">
        <v>677</v>
      </c>
      <c r="D301" s="742" t="s">
        <v>233</v>
      </c>
      <c r="E301" s="128">
        <f t="shared" si="14"/>
        <v>10</v>
      </c>
      <c r="F301" s="742">
        <v>2</v>
      </c>
      <c r="G301" s="61"/>
      <c r="H301" s="123"/>
      <c r="I301" s="61"/>
      <c r="J301" s="125"/>
      <c r="K301" s="122"/>
      <c r="L301" s="122"/>
      <c r="M301" s="126"/>
      <c r="N301" s="126"/>
      <c r="O301" s="126"/>
      <c r="P301" s="126"/>
      <c r="Q301" s="126"/>
    </row>
    <row r="302" spans="1:17" x14ac:dyDescent="0.25">
      <c r="A302" s="742">
        <v>15</v>
      </c>
      <c r="B302" s="742"/>
      <c r="C302" s="54" t="s">
        <v>658</v>
      </c>
      <c r="D302" s="742" t="s">
        <v>68</v>
      </c>
      <c r="E302" s="128">
        <f t="shared" si="14"/>
        <v>5</v>
      </c>
      <c r="F302" s="742">
        <v>1</v>
      </c>
      <c r="G302" s="61"/>
      <c r="H302" s="123"/>
      <c r="I302" s="61"/>
      <c r="J302" s="125"/>
      <c r="K302" s="122"/>
      <c r="L302" s="122"/>
      <c r="M302" s="126"/>
      <c r="N302" s="126"/>
      <c r="O302" s="126"/>
      <c r="P302" s="126"/>
      <c r="Q302" s="126"/>
    </row>
    <row r="303" spans="1:17" ht="22.5" x14ac:dyDescent="0.25">
      <c r="A303" s="742">
        <v>16</v>
      </c>
      <c r="B303" s="742"/>
      <c r="C303" s="54" t="s">
        <v>665</v>
      </c>
      <c r="D303" s="742" t="s">
        <v>68</v>
      </c>
      <c r="E303" s="128">
        <f t="shared" si="14"/>
        <v>5</v>
      </c>
      <c r="F303" s="742">
        <v>1</v>
      </c>
      <c r="G303" s="61"/>
      <c r="H303" s="123"/>
      <c r="I303" s="61"/>
      <c r="J303" s="125"/>
      <c r="K303" s="122"/>
      <c r="L303" s="122"/>
      <c r="M303" s="126"/>
      <c r="N303" s="126"/>
      <c r="O303" s="126"/>
      <c r="P303" s="126"/>
      <c r="Q303" s="126"/>
    </row>
    <row r="304" spans="1:17" x14ac:dyDescent="0.25">
      <c r="A304" s="742"/>
      <c r="B304" s="742"/>
      <c r="C304" s="565" t="s">
        <v>689</v>
      </c>
      <c r="D304" s="565"/>
      <c r="E304" s="128"/>
      <c r="F304" s="565"/>
      <c r="G304" s="564"/>
      <c r="H304" s="107"/>
      <c r="I304" s="107"/>
      <c r="J304" s="107"/>
      <c r="K304" s="107"/>
      <c r="L304" s="107"/>
      <c r="M304" s="107"/>
      <c r="N304" s="107"/>
      <c r="O304" s="564"/>
      <c r="P304" s="107"/>
      <c r="Q304" s="564"/>
    </row>
    <row r="305" spans="1:17" ht="15" x14ac:dyDescent="0.25">
      <c r="A305" s="742"/>
      <c r="B305" s="742"/>
      <c r="C305" s="759" t="s">
        <v>763</v>
      </c>
      <c r="D305" s="760"/>
      <c r="E305" s="128"/>
      <c r="F305" s="742"/>
      <c r="G305" s="565"/>
      <c r="H305" s="565"/>
      <c r="I305" s="565"/>
      <c r="J305" s="565"/>
      <c r="K305" s="565"/>
      <c r="L305" s="565"/>
      <c r="M305" s="565"/>
      <c r="N305" s="565"/>
      <c r="O305" s="565"/>
      <c r="P305" s="565"/>
      <c r="Q305" s="565"/>
    </row>
    <row r="306" spans="1:17" ht="33.75" x14ac:dyDescent="0.25">
      <c r="A306" s="742">
        <v>4</v>
      </c>
      <c r="B306" s="742"/>
      <c r="C306" s="809" t="s">
        <v>919</v>
      </c>
      <c r="D306" s="128" t="s">
        <v>68</v>
      </c>
      <c r="E306" s="128">
        <f t="shared" ref="E306:E316" si="15">5*F306</f>
        <v>20</v>
      </c>
      <c r="F306" s="128">
        <v>4</v>
      </c>
      <c r="G306" s="61"/>
      <c r="H306" s="123"/>
      <c r="I306" s="61"/>
      <c r="J306" s="125"/>
      <c r="K306" s="122"/>
      <c r="L306" s="122"/>
      <c r="M306" s="126"/>
      <c r="N306" s="126"/>
      <c r="O306" s="126"/>
      <c r="P306" s="126"/>
      <c r="Q306" s="126"/>
    </row>
    <row r="307" spans="1:17" ht="33.75" x14ac:dyDescent="0.25">
      <c r="A307" s="742">
        <v>5</v>
      </c>
      <c r="B307" s="742"/>
      <c r="C307" s="808" t="s">
        <v>956</v>
      </c>
      <c r="D307" s="742" t="s">
        <v>233</v>
      </c>
      <c r="E307" s="128">
        <f t="shared" si="15"/>
        <v>20</v>
      </c>
      <c r="F307" s="742">
        <v>4</v>
      </c>
      <c r="G307" s="61"/>
      <c r="H307" s="123"/>
      <c r="I307" s="61"/>
      <c r="J307" s="125"/>
      <c r="K307" s="122"/>
      <c r="L307" s="122"/>
      <c r="M307" s="126"/>
      <c r="N307" s="126"/>
      <c r="O307" s="126"/>
      <c r="P307" s="126"/>
      <c r="Q307" s="126"/>
    </row>
    <row r="308" spans="1:17" ht="22.5" x14ac:dyDescent="0.25">
      <c r="A308" s="742">
        <v>6</v>
      </c>
      <c r="B308" s="742"/>
      <c r="C308" s="814" t="s">
        <v>957</v>
      </c>
      <c r="D308" s="743" t="s">
        <v>16</v>
      </c>
      <c r="E308" s="128">
        <f t="shared" si="15"/>
        <v>300</v>
      </c>
      <c r="F308" s="742">
        <v>60</v>
      </c>
      <c r="G308" s="61"/>
      <c r="H308" s="123"/>
      <c r="I308" s="61"/>
      <c r="J308" s="125"/>
      <c r="K308" s="122"/>
      <c r="L308" s="122"/>
      <c r="M308" s="126"/>
      <c r="N308" s="126"/>
      <c r="O308" s="126"/>
      <c r="P308" s="126"/>
      <c r="Q308" s="126"/>
    </row>
    <row r="309" spans="1:17" x14ac:dyDescent="0.25">
      <c r="A309" s="742">
        <v>7</v>
      </c>
      <c r="B309" s="742"/>
      <c r="C309" s="54" t="s">
        <v>674</v>
      </c>
      <c r="D309" s="742" t="s">
        <v>233</v>
      </c>
      <c r="E309" s="128">
        <f t="shared" si="15"/>
        <v>120</v>
      </c>
      <c r="F309" s="742">
        <v>24</v>
      </c>
      <c r="G309" s="61"/>
      <c r="H309" s="123"/>
      <c r="I309" s="61"/>
      <c r="J309" s="125"/>
      <c r="K309" s="122"/>
      <c r="L309" s="122"/>
      <c r="M309" s="126"/>
      <c r="N309" s="126"/>
      <c r="O309" s="126"/>
      <c r="P309" s="126"/>
      <c r="Q309" s="126"/>
    </row>
    <row r="310" spans="1:17" x14ac:dyDescent="0.25">
      <c r="A310" s="742">
        <v>8</v>
      </c>
      <c r="B310" s="742"/>
      <c r="C310" s="54" t="s">
        <v>675</v>
      </c>
      <c r="D310" s="742" t="s">
        <v>233</v>
      </c>
      <c r="E310" s="128">
        <f t="shared" si="15"/>
        <v>10</v>
      </c>
      <c r="F310" s="742">
        <v>2</v>
      </c>
      <c r="G310" s="61"/>
      <c r="H310" s="123"/>
      <c r="I310" s="61"/>
      <c r="J310" s="125"/>
      <c r="K310" s="122"/>
      <c r="L310" s="122"/>
      <c r="M310" s="126"/>
      <c r="N310" s="126"/>
      <c r="O310" s="126"/>
      <c r="P310" s="126"/>
      <c r="Q310" s="126"/>
    </row>
    <row r="311" spans="1:17" x14ac:dyDescent="0.25">
      <c r="A311" s="742">
        <v>9</v>
      </c>
      <c r="B311" s="742"/>
      <c r="C311" s="381" t="s">
        <v>662</v>
      </c>
      <c r="D311" s="742" t="s">
        <v>233</v>
      </c>
      <c r="E311" s="128">
        <f t="shared" si="15"/>
        <v>10</v>
      </c>
      <c r="F311" s="742">
        <v>2</v>
      </c>
      <c r="G311" s="61"/>
      <c r="H311" s="123"/>
      <c r="I311" s="61"/>
      <c r="J311" s="125"/>
      <c r="K311" s="122"/>
      <c r="L311" s="122"/>
      <c r="M311" s="126"/>
      <c r="N311" s="126"/>
      <c r="O311" s="126"/>
      <c r="P311" s="126"/>
      <c r="Q311" s="126"/>
    </row>
    <row r="312" spans="1:17" ht="22.5" x14ac:dyDescent="0.25">
      <c r="A312" s="742">
        <v>10</v>
      </c>
      <c r="B312" s="742"/>
      <c r="C312" s="54" t="s">
        <v>676</v>
      </c>
      <c r="D312" s="742" t="s">
        <v>233</v>
      </c>
      <c r="E312" s="128">
        <f t="shared" si="15"/>
        <v>25</v>
      </c>
      <c r="F312" s="742">
        <v>5</v>
      </c>
      <c r="G312" s="123"/>
      <c r="H312" s="123"/>
      <c r="I312" s="123"/>
      <c r="J312" s="124"/>
      <c r="K312" s="122"/>
      <c r="L312" s="122"/>
      <c r="M312" s="126"/>
      <c r="N312" s="126"/>
      <c r="O312" s="126"/>
      <c r="P312" s="126"/>
      <c r="Q312" s="126"/>
    </row>
    <row r="313" spans="1:17" x14ac:dyDescent="0.25">
      <c r="A313" s="742">
        <v>11</v>
      </c>
      <c r="B313" s="742"/>
      <c r="C313" s="54" t="s">
        <v>657</v>
      </c>
      <c r="D313" s="742" t="s">
        <v>23</v>
      </c>
      <c r="E313" s="128">
        <f t="shared" si="15"/>
        <v>2.5</v>
      </c>
      <c r="F313" s="742">
        <v>0.5</v>
      </c>
      <c r="G313" s="61"/>
      <c r="H313" s="123"/>
      <c r="I313" s="61"/>
      <c r="J313" s="125"/>
      <c r="K313" s="122"/>
      <c r="L313" s="122"/>
      <c r="M313" s="126"/>
      <c r="N313" s="126"/>
      <c r="O313" s="126"/>
      <c r="P313" s="126"/>
      <c r="Q313" s="126"/>
    </row>
    <row r="314" spans="1:17" x14ac:dyDescent="0.25">
      <c r="A314" s="742">
        <v>12</v>
      </c>
      <c r="B314" s="742"/>
      <c r="C314" s="54" t="s">
        <v>238</v>
      </c>
      <c r="D314" s="742" t="s">
        <v>68</v>
      </c>
      <c r="E314" s="128">
        <f t="shared" si="15"/>
        <v>5</v>
      </c>
      <c r="F314" s="742">
        <v>1</v>
      </c>
      <c r="G314" s="61"/>
      <c r="H314" s="123"/>
      <c r="I314" s="61"/>
      <c r="J314" s="125"/>
      <c r="K314" s="122"/>
      <c r="L314" s="122"/>
      <c r="M314" s="126"/>
      <c r="N314" s="126"/>
      <c r="O314" s="126"/>
      <c r="P314" s="126"/>
      <c r="Q314" s="126"/>
    </row>
    <row r="315" spans="1:17" x14ac:dyDescent="0.25">
      <c r="A315" s="742">
        <v>13</v>
      </c>
      <c r="B315" s="742"/>
      <c r="C315" s="54" t="s">
        <v>658</v>
      </c>
      <c r="D315" s="742" t="s">
        <v>68</v>
      </c>
      <c r="E315" s="128">
        <f t="shared" si="15"/>
        <v>5</v>
      </c>
      <c r="F315" s="742">
        <v>1</v>
      </c>
      <c r="G315" s="61"/>
      <c r="H315" s="123"/>
      <c r="I315" s="61"/>
      <c r="J315" s="125"/>
      <c r="K315" s="122"/>
      <c r="L315" s="122"/>
      <c r="M315" s="126"/>
      <c r="N315" s="126"/>
      <c r="O315" s="126"/>
      <c r="P315" s="126"/>
      <c r="Q315" s="126"/>
    </row>
    <row r="316" spans="1:17" ht="22.5" x14ac:dyDescent="0.25">
      <c r="A316" s="742">
        <v>14</v>
      </c>
      <c r="B316" s="742"/>
      <c r="C316" s="54" t="s">
        <v>665</v>
      </c>
      <c r="D316" s="742" t="s">
        <v>68</v>
      </c>
      <c r="E316" s="128">
        <f t="shared" si="15"/>
        <v>5</v>
      </c>
      <c r="F316" s="742">
        <v>1</v>
      </c>
      <c r="G316" s="61"/>
      <c r="H316" s="123"/>
      <c r="I316" s="61"/>
      <c r="J316" s="125"/>
      <c r="K316" s="122"/>
      <c r="L316" s="122"/>
      <c r="M316" s="126"/>
      <c r="N316" s="126"/>
      <c r="O316" s="126"/>
      <c r="P316" s="126"/>
      <c r="Q316" s="126"/>
    </row>
    <row r="317" spans="1:17" x14ac:dyDescent="0.25">
      <c r="A317" s="742"/>
      <c r="B317" s="742"/>
      <c r="C317" s="565" t="s">
        <v>690</v>
      </c>
      <c r="D317" s="565"/>
      <c r="E317" s="128"/>
      <c r="F317" s="742"/>
      <c r="G317" s="61"/>
      <c r="H317" s="123"/>
      <c r="I317" s="61"/>
      <c r="J317" s="125"/>
      <c r="K317" s="122"/>
      <c r="L317" s="122"/>
      <c r="M317" s="126"/>
      <c r="N317" s="126"/>
      <c r="O317" s="126"/>
      <c r="P317" s="126"/>
      <c r="Q317" s="126"/>
    </row>
    <row r="318" spans="1:17" ht="15" x14ac:dyDescent="0.25">
      <c r="A318" s="742"/>
      <c r="B318" s="742"/>
      <c r="C318" s="759" t="s">
        <v>765</v>
      </c>
      <c r="D318" s="760"/>
      <c r="E318" s="128"/>
      <c r="F318" s="565"/>
      <c r="G318" s="564"/>
      <c r="H318" s="107"/>
      <c r="I318" s="107"/>
      <c r="J318" s="107"/>
      <c r="K318" s="107"/>
      <c r="L318" s="107"/>
      <c r="M318" s="107"/>
      <c r="N318" s="107"/>
      <c r="O318" s="564"/>
      <c r="P318" s="107"/>
      <c r="Q318" s="564"/>
    </row>
    <row r="319" spans="1:17" ht="33.75" x14ac:dyDescent="0.25">
      <c r="A319" s="742">
        <v>4</v>
      </c>
      <c r="B319" s="742"/>
      <c r="C319" s="809" t="s">
        <v>919</v>
      </c>
      <c r="D319" s="128" t="s">
        <v>68</v>
      </c>
      <c r="E319" s="128">
        <f t="shared" ref="E319:E331" si="16">5*F319</f>
        <v>25</v>
      </c>
      <c r="F319" s="128">
        <v>5</v>
      </c>
      <c r="G319" s="61"/>
      <c r="H319" s="123"/>
      <c r="I319" s="61"/>
      <c r="J319" s="125"/>
      <c r="K319" s="122"/>
      <c r="L319" s="122"/>
      <c r="M319" s="126"/>
      <c r="N319" s="126"/>
      <c r="O319" s="126"/>
      <c r="P319" s="126"/>
      <c r="Q319" s="126"/>
    </row>
    <row r="320" spans="1:17" ht="33.75" x14ac:dyDescent="0.25">
      <c r="A320" s="742">
        <v>5</v>
      </c>
      <c r="B320" s="742"/>
      <c r="C320" s="808" t="s">
        <v>956</v>
      </c>
      <c r="D320" s="742" t="s">
        <v>233</v>
      </c>
      <c r="E320" s="128">
        <f t="shared" si="16"/>
        <v>25</v>
      </c>
      <c r="F320" s="742">
        <v>5</v>
      </c>
      <c r="G320" s="61"/>
      <c r="H320" s="123"/>
      <c r="I320" s="61"/>
      <c r="J320" s="125"/>
      <c r="K320" s="122"/>
      <c r="L320" s="122"/>
      <c r="M320" s="126"/>
      <c r="N320" s="126"/>
      <c r="O320" s="126"/>
      <c r="P320" s="126"/>
      <c r="Q320" s="126"/>
    </row>
    <row r="321" spans="1:17" ht="22.5" x14ac:dyDescent="0.25">
      <c r="A321" s="742">
        <v>6</v>
      </c>
      <c r="B321" s="742"/>
      <c r="C321" s="814" t="s">
        <v>957</v>
      </c>
      <c r="D321" s="742" t="s">
        <v>16</v>
      </c>
      <c r="E321" s="128">
        <f t="shared" si="16"/>
        <v>380</v>
      </c>
      <c r="F321" s="742">
        <v>76</v>
      </c>
      <c r="G321" s="61"/>
      <c r="H321" s="123"/>
      <c r="I321" s="61"/>
      <c r="J321" s="125"/>
      <c r="K321" s="122"/>
      <c r="L321" s="122"/>
      <c r="M321" s="126"/>
      <c r="N321" s="126"/>
      <c r="O321" s="126"/>
      <c r="P321" s="126"/>
      <c r="Q321" s="126"/>
    </row>
    <row r="322" spans="1:17" x14ac:dyDescent="0.25">
      <c r="A322" s="742">
        <v>7</v>
      </c>
      <c r="B322" s="742"/>
      <c r="C322" s="54" t="s">
        <v>674</v>
      </c>
      <c r="D322" s="742" t="s">
        <v>233</v>
      </c>
      <c r="E322" s="128">
        <f t="shared" si="16"/>
        <v>170</v>
      </c>
      <c r="F322" s="742">
        <v>34</v>
      </c>
      <c r="G322" s="61"/>
      <c r="H322" s="123"/>
      <c r="I322" s="61"/>
      <c r="J322" s="125"/>
      <c r="K322" s="122"/>
      <c r="L322" s="122"/>
      <c r="M322" s="126"/>
      <c r="N322" s="126"/>
      <c r="O322" s="126"/>
      <c r="P322" s="126"/>
      <c r="Q322" s="126"/>
    </row>
    <row r="323" spans="1:17" x14ac:dyDescent="0.25">
      <c r="A323" s="742">
        <v>8</v>
      </c>
      <c r="B323" s="742"/>
      <c r="C323" s="54" t="s">
        <v>675</v>
      </c>
      <c r="D323" s="742" t="s">
        <v>233</v>
      </c>
      <c r="E323" s="128">
        <f t="shared" si="16"/>
        <v>40</v>
      </c>
      <c r="F323" s="742">
        <v>8</v>
      </c>
      <c r="G323" s="61"/>
      <c r="H323" s="123"/>
      <c r="I323" s="61"/>
      <c r="J323" s="125"/>
      <c r="K323" s="122"/>
      <c r="L323" s="122"/>
      <c r="M323" s="126"/>
      <c r="N323" s="126"/>
      <c r="O323" s="126"/>
      <c r="P323" s="126"/>
      <c r="Q323" s="126"/>
    </row>
    <row r="324" spans="1:17" x14ac:dyDescent="0.25">
      <c r="A324" s="742">
        <v>9</v>
      </c>
      <c r="B324" s="742"/>
      <c r="C324" s="381" t="s">
        <v>662</v>
      </c>
      <c r="D324" s="742" t="s">
        <v>233</v>
      </c>
      <c r="E324" s="128">
        <f t="shared" si="16"/>
        <v>10</v>
      </c>
      <c r="F324" s="742">
        <v>2</v>
      </c>
      <c r="G324" s="61"/>
      <c r="H324" s="123"/>
      <c r="I324" s="61"/>
      <c r="J324" s="125"/>
      <c r="K324" s="122"/>
      <c r="L324" s="122"/>
      <c r="M324" s="126"/>
      <c r="N324" s="126"/>
      <c r="O324" s="126"/>
      <c r="P324" s="126"/>
      <c r="Q324" s="126"/>
    </row>
    <row r="325" spans="1:17" ht="22.5" x14ac:dyDescent="0.25">
      <c r="A325" s="742">
        <v>10</v>
      </c>
      <c r="B325" s="742"/>
      <c r="C325" s="54" t="s">
        <v>676</v>
      </c>
      <c r="D325" s="742" t="s">
        <v>233</v>
      </c>
      <c r="E325" s="128">
        <f t="shared" si="16"/>
        <v>50</v>
      </c>
      <c r="F325" s="742">
        <v>10</v>
      </c>
      <c r="G325" s="123"/>
      <c r="H325" s="123"/>
      <c r="I325" s="123"/>
      <c r="J325" s="124"/>
      <c r="K325" s="122"/>
      <c r="L325" s="122"/>
      <c r="M325" s="126"/>
      <c r="N325" s="126"/>
      <c r="O325" s="126"/>
      <c r="P325" s="126"/>
      <c r="Q325" s="126"/>
    </row>
    <row r="326" spans="1:17" x14ac:dyDescent="0.25">
      <c r="A326" s="742">
        <v>11</v>
      </c>
      <c r="B326" s="742"/>
      <c r="C326" s="54" t="s">
        <v>657</v>
      </c>
      <c r="D326" s="742" t="s">
        <v>23</v>
      </c>
      <c r="E326" s="128">
        <f t="shared" si="16"/>
        <v>3</v>
      </c>
      <c r="F326" s="742">
        <v>0.6</v>
      </c>
      <c r="G326" s="61"/>
      <c r="H326" s="123"/>
      <c r="I326" s="61"/>
      <c r="J326" s="125"/>
      <c r="K326" s="122"/>
      <c r="L326" s="122"/>
      <c r="M326" s="126"/>
      <c r="N326" s="126"/>
      <c r="O326" s="126"/>
      <c r="P326" s="126"/>
      <c r="Q326" s="126"/>
    </row>
    <row r="327" spans="1:17" x14ac:dyDescent="0.25">
      <c r="A327" s="742">
        <v>12</v>
      </c>
      <c r="B327" s="742"/>
      <c r="C327" s="54" t="s">
        <v>238</v>
      </c>
      <c r="D327" s="742" t="s">
        <v>68</v>
      </c>
      <c r="E327" s="128">
        <f t="shared" si="16"/>
        <v>5</v>
      </c>
      <c r="F327" s="742">
        <v>1</v>
      </c>
      <c r="G327" s="61"/>
      <c r="H327" s="123"/>
      <c r="I327" s="61"/>
      <c r="J327" s="125"/>
      <c r="K327" s="122"/>
      <c r="L327" s="122"/>
      <c r="M327" s="126"/>
      <c r="N327" s="126"/>
      <c r="O327" s="126"/>
      <c r="P327" s="126"/>
      <c r="Q327" s="126"/>
    </row>
    <row r="328" spans="1:17" ht="22.5" x14ac:dyDescent="0.25">
      <c r="A328" s="742">
        <v>13</v>
      </c>
      <c r="B328" s="742"/>
      <c r="C328" s="54" t="s">
        <v>671</v>
      </c>
      <c r="D328" s="742" t="s">
        <v>16</v>
      </c>
      <c r="E328" s="128">
        <f t="shared" si="16"/>
        <v>10</v>
      </c>
      <c r="F328" s="742">
        <v>2</v>
      </c>
      <c r="G328" s="61"/>
      <c r="H328" s="123"/>
      <c r="I328" s="61"/>
      <c r="J328" s="125"/>
      <c r="K328" s="122"/>
      <c r="L328" s="122"/>
      <c r="M328" s="126"/>
      <c r="N328" s="126"/>
      <c r="O328" s="126"/>
      <c r="P328" s="126"/>
      <c r="Q328" s="126"/>
    </row>
    <row r="329" spans="1:17" x14ac:dyDescent="0.25">
      <c r="A329" s="742">
        <v>14</v>
      </c>
      <c r="B329" s="742"/>
      <c r="C329" s="54" t="s">
        <v>677</v>
      </c>
      <c r="D329" s="742" t="s">
        <v>233</v>
      </c>
      <c r="E329" s="128">
        <f t="shared" si="16"/>
        <v>5</v>
      </c>
      <c r="F329" s="742">
        <v>1</v>
      </c>
      <c r="G329" s="61"/>
      <c r="H329" s="123"/>
      <c r="I329" s="61"/>
      <c r="J329" s="125"/>
      <c r="K329" s="122"/>
      <c r="L329" s="122"/>
      <c r="M329" s="126"/>
      <c r="N329" s="126"/>
      <c r="O329" s="126"/>
      <c r="P329" s="126"/>
      <c r="Q329" s="126"/>
    </row>
    <row r="330" spans="1:17" x14ac:dyDescent="0.25">
      <c r="A330" s="742">
        <v>15</v>
      </c>
      <c r="B330" s="742"/>
      <c r="C330" s="54" t="s">
        <v>658</v>
      </c>
      <c r="D330" s="742" t="s">
        <v>68</v>
      </c>
      <c r="E330" s="128">
        <f t="shared" si="16"/>
        <v>5</v>
      </c>
      <c r="F330" s="742">
        <v>1</v>
      </c>
      <c r="G330" s="61"/>
      <c r="H330" s="123"/>
      <c r="I330" s="61"/>
      <c r="J330" s="125"/>
      <c r="K330" s="122"/>
      <c r="L330" s="122"/>
      <c r="M330" s="126"/>
      <c r="N330" s="126"/>
      <c r="O330" s="126"/>
      <c r="P330" s="126"/>
      <c r="Q330" s="126"/>
    </row>
    <row r="331" spans="1:17" ht="22.5" x14ac:dyDescent="0.25">
      <c r="A331" s="742">
        <v>16</v>
      </c>
      <c r="B331" s="742"/>
      <c r="C331" s="54" t="s">
        <v>665</v>
      </c>
      <c r="D331" s="742" t="s">
        <v>68</v>
      </c>
      <c r="E331" s="128">
        <f t="shared" si="16"/>
        <v>5</v>
      </c>
      <c r="F331" s="742">
        <v>1</v>
      </c>
      <c r="G331" s="61"/>
      <c r="H331" s="123"/>
      <c r="I331" s="61"/>
      <c r="J331" s="125"/>
      <c r="K331" s="122"/>
      <c r="L331" s="122"/>
      <c r="M331" s="126"/>
      <c r="N331" s="126"/>
      <c r="O331" s="126"/>
      <c r="P331" s="126"/>
      <c r="Q331" s="126"/>
    </row>
    <row r="332" spans="1:17" x14ac:dyDescent="0.25">
      <c r="A332" s="742"/>
      <c r="B332" s="742"/>
      <c r="C332" s="565" t="s">
        <v>691</v>
      </c>
      <c r="D332" s="565"/>
      <c r="E332" s="128"/>
      <c r="F332" s="565"/>
      <c r="G332" s="564"/>
      <c r="H332" s="107"/>
      <c r="I332" s="107"/>
      <c r="J332" s="107"/>
      <c r="K332" s="107"/>
      <c r="L332" s="107"/>
      <c r="M332" s="107"/>
      <c r="N332" s="107"/>
      <c r="O332" s="564"/>
      <c r="P332" s="107"/>
      <c r="Q332" s="564"/>
    </row>
    <row r="333" spans="1:17" ht="15" x14ac:dyDescent="0.25">
      <c r="A333" s="742"/>
      <c r="B333" s="742"/>
      <c r="C333" s="759" t="s">
        <v>766</v>
      </c>
      <c r="D333" s="760"/>
      <c r="E333" s="128"/>
      <c r="F333" s="742"/>
      <c r="G333" s="565"/>
      <c r="H333" s="565"/>
      <c r="I333" s="565"/>
      <c r="J333" s="565"/>
      <c r="K333" s="565"/>
      <c r="L333" s="565"/>
      <c r="M333" s="565"/>
      <c r="N333" s="565"/>
      <c r="O333" s="565"/>
      <c r="P333" s="565"/>
      <c r="Q333" s="565"/>
    </row>
    <row r="334" spans="1:17" ht="33.75" x14ac:dyDescent="0.25">
      <c r="A334" s="742">
        <v>4</v>
      </c>
      <c r="B334" s="742"/>
      <c r="C334" s="809" t="s">
        <v>919</v>
      </c>
      <c r="D334" s="128" t="s">
        <v>68</v>
      </c>
      <c r="E334" s="128">
        <f t="shared" ref="E334:E346" si="17">2*F334</f>
        <v>10</v>
      </c>
      <c r="F334" s="128">
        <v>5</v>
      </c>
      <c r="G334" s="61"/>
      <c r="H334" s="123"/>
      <c r="I334" s="61"/>
      <c r="J334" s="125"/>
      <c r="K334" s="122"/>
      <c r="L334" s="122"/>
      <c r="M334" s="126"/>
      <c r="N334" s="126"/>
      <c r="O334" s="126"/>
      <c r="P334" s="126"/>
      <c r="Q334" s="126"/>
    </row>
    <row r="335" spans="1:17" ht="33.75" x14ac:dyDescent="0.25">
      <c r="A335" s="742">
        <v>5</v>
      </c>
      <c r="B335" s="742"/>
      <c r="C335" s="808" t="s">
        <v>956</v>
      </c>
      <c r="D335" s="742" t="s">
        <v>233</v>
      </c>
      <c r="E335" s="128">
        <f t="shared" si="17"/>
        <v>10</v>
      </c>
      <c r="F335" s="742">
        <v>5</v>
      </c>
      <c r="G335" s="61"/>
      <c r="H335" s="123"/>
      <c r="I335" s="61"/>
      <c r="J335" s="125"/>
      <c r="K335" s="122"/>
      <c r="L335" s="122"/>
      <c r="M335" s="126"/>
      <c r="N335" s="126"/>
      <c r="O335" s="126"/>
      <c r="P335" s="126"/>
      <c r="Q335" s="126"/>
    </row>
    <row r="336" spans="1:17" ht="22.5" x14ac:dyDescent="0.25">
      <c r="A336" s="742">
        <v>6</v>
      </c>
      <c r="B336" s="742"/>
      <c r="C336" s="814" t="s">
        <v>957</v>
      </c>
      <c r="D336" s="742" t="s">
        <v>16</v>
      </c>
      <c r="E336" s="128">
        <f t="shared" si="17"/>
        <v>156</v>
      </c>
      <c r="F336" s="742">
        <v>78</v>
      </c>
      <c r="G336" s="61"/>
      <c r="H336" s="123"/>
      <c r="I336" s="61"/>
      <c r="J336" s="125"/>
      <c r="K336" s="122"/>
      <c r="L336" s="122"/>
      <c r="M336" s="126"/>
      <c r="N336" s="126"/>
      <c r="O336" s="126"/>
      <c r="P336" s="126"/>
      <c r="Q336" s="126"/>
    </row>
    <row r="337" spans="1:17" x14ac:dyDescent="0.25">
      <c r="A337" s="742">
        <v>7</v>
      </c>
      <c r="B337" s="742"/>
      <c r="C337" s="54" t="s">
        <v>674</v>
      </c>
      <c r="D337" s="742" t="s">
        <v>233</v>
      </c>
      <c r="E337" s="128">
        <f t="shared" si="17"/>
        <v>84</v>
      </c>
      <c r="F337" s="742">
        <v>42</v>
      </c>
      <c r="G337" s="61"/>
      <c r="H337" s="123"/>
      <c r="I337" s="61"/>
      <c r="J337" s="125"/>
      <c r="K337" s="122"/>
      <c r="L337" s="122"/>
      <c r="M337" s="126"/>
      <c r="N337" s="126"/>
      <c r="O337" s="126"/>
      <c r="P337" s="126"/>
      <c r="Q337" s="126"/>
    </row>
    <row r="338" spans="1:17" x14ac:dyDescent="0.25">
      <c r="A338" s="742">
        <v>8</v>
      </c>
      <c r="B338" s="742"/>
      <c r="C338" s="54" t="s">
        <v>675</v>
      </c>
      <c r="D338" s="742" t="s">
        <v>233</v>
      </c>
      <c r="E338" s="128">
        <f t="shared" si="17"/>
        <v>16</v>
      </c>
      <c r="F338" s="742">
        <v>8</v>
      </c>
      <c r="G338" s="61"/>
      <c r="H338" s="123"/>
      <c r="I338" s="61"/>
      <c r="J338" s="125"/>
      <c r="K338" s="122"/>
      <c r="L338" s="122"/>
      <c r="M338" s="126"/>
      <c r="N338" s="126"/>
      <c r="O338" s="126"/>
      <c r="P338" s="126"/>
      <c r="Q338" s="126"/>
    </row>
    <row r="339" spans="1:17" x14ac:dyDescent="0.25">
      <c r="A339" s="742">
        <v>9</v>
      </c>
      <c r="B339" s="742"/>
      <c r="C339" s="381" t="s">
        <v>662</v>
      </c>
      <c r="D339" s="742" t="s">
        <v>233</v>
      </c>
      <c r="E339" s="128">
        <f t="shared" si="17"/>
        <v>4</v>
      </c>
      <c r="F339" s="742">
        <v>2</v>
      </c>
      <c r="G339" s="61"/>
      <c r="H339" s="123"/>
      <c r="I339" s="61"/>
      <c r="J339" s="125"/>
      <c r="K339" s="122"/>
      <c r="L339" s="122"/>
      <c r="M339" s="126"/>
      <c r="N339" s="126"/>
      <c r="O339" s="126"/>
      <c r="P339" s="126"/>
      <c r="Q339" s="126"/>
    </row>
    <row r="340" spans="1:17" ht="22.5" x14ac:dyDescent="0.25">
      <c r="A340" s="742">
        <v>10</v>
      </c>
      <c r="B340" s="742"/>
      <c r="C340" s="54" t="s">
        <v>676</v>
      </c>
      <c r="D340" s="742" t="s">
        <v>233</v>
      </c>
      <c r="E340" s="128">
        <f t="shared" si="17"/>
        <v>20</v>
      </c>
      <c r="F340" s="742">
        <v>10</v>
      </c>
      <c r="G340" s="123"/>
      <c r="H340" s="123"/>
      <c r="I340" s="123"/>
      <c r="J340" s="124"/>
      <c r="K340" s="122"/>
      <c r="L340" s="122"/>
      <c r="M340" s="126"/>
      <c r="N340" s="126"/>
      <c r="O340" s="126"/>
      <c r="P340" s="126"/>
      <c r="Q340" s="126"/>
    </row>
    <row r="341" spans="1:17" x14ac:dyDescent="0.25">
      <c r="A341" s="742">
        <v>11</v>
      </c>
      <c r="B341" s="742"/>
      <c r="C341" s="54" t="s">
        <v>657</v>
      </c>
      <c r="D341" s="742" t="s">
        <v>23</v>
      </c>
      <c r="E341" s="128">
        <f t="shared" si="17"/>
        <v>1.2</v>
      </c>
      <c r="F341" s="742">
        <v>0.6</v>
      </c>
      <c r="G341" s="61"/>
      <c r="H341" s="123"/>
      <c r="I341" s="61"/>
      <c r="J341" s="125"/>
      <c r="K341" s="122"/>
      <c r="L341" s="122"/>
      <c r="M341" s="126"/>
      <c r="N341" s="126"/>
      <c r="O341" s="126"/>
      <c r="P341" s="126"/>
      <c r="Q341" s="126"/>
    </row>
    <row r="342" spans="1:17" x14ac:dyDescent="0.25">
      <c r="A342" s="742">
        <v>12</v>
      </c>
      <c r="B342" s="742"/>
      <c r="C342" s="54" t="s">
        <v>238</v>
      </c>
      <c r="D342" s="742" t="s">
        <v>68</v>
      </c>
      <c r="E342" s="128">
        <f t="shared" si="17"/>
        <v>2</v>
      </c>
      <c r="F342" s="742">
        <v>1</v>
      </c>
      <c r="G342" s="61"/>
      <c r="H342" s="123"/>
      <c r="I342" s="61"/>
      <c r="J342" s="125"/>
      <c r="K342" s="122"/>
      <c r="L342" s="122"/>
      <c r="M342" s="126"/>
      <c r="N342" s="126"/>
      <c r="O342" s="126"/>
      <c r="P342" s="126"/>
      <c r="Q342" s="126"/>
    </row>
    <row r="343" spans="1:17" ht="22.5" x14ac:dyDescent="0.25">
      <c r="A343" s="742">
        <v>13</v>
      </c>
      <c r="B343" s="742"/>
      <c r="C343" s="54" t="s">
        <v>671</v>
      </c>
      <c r="D343" s="742" t="s">
        <v>16</v>
      </c>
      <c r="E343" s="128">
        <f t="shared" si="17"/>
        <v>8</v>
      </c>
      <c r="F343" s="742">
        <v>4</v>
      </c>
      <c r="G343" s="61"/>
      <c r="H343" s="123"/>
      <c r="I343" s="61"/>
      <c r="J343" s="125"/>
      <c r="K343" s="122"/>
      <c r="L343" s="122"/>
      <c r="M343" s="126"/>
      <c r="N343" s="126"/>
      <c r="O343" s="126"/>
      <c r="P343" s="126"/>
      <c r="Q343" s="126"/>
    </row>
    <row r="344" spans="1:17" x14ac:dyDescent="0.25">
      <c r="A344" s="742">
        <v>14</v>
      </c>
      <c r="B344" s="742"/>
      <c r="C344" s="54" t="s">
        <v>677</v>
      </c>
      <c r="D344" s="742" t="s">
        <v>233</v>
      </c>
      <c r="E344" s="128">
        <f t="shared" si="17"/>
        <v>4</v>
      </c>
      <c r="F344" s="742">
        <v>2</v>
      </c>
      <c r="G344" s="61"/>
      <c r="H344" s="123"/>
      <c r="I344" s="61"/>
      <c r="J344" s="125"/>
      <c r="K344" s="122"/>
      <c r="L344" s="122"/>
      <c r="M344" s="126"/>
      <c r="N344" s="126"/>
      <c r="O344" s="126"/>
      <c r="P344" s="126"/>
      <c r="Q344" s="126"/>
    </row>
    <row r="345" spans="1:17" x14ac:dyDescent="0.25">
      <c r="A345" s="742">
        <v>15</v>
      </c>
      <c r="B345" s="742"/>
      <c r="C345" s="54" t="s">
        <v>658</v>
      </c>
      <c r="D345" s="742" t="s">
        <v>68</v>
      </c>
      <c r="E345" s="128">
        <f t="shared" si="17"/>
        <v>2</v>
      </c>
      <c r="F345" s="742">
        <v>1</v>
      </c>
      <c r="G345" s="61"/>
      <c r="H345" s="123"/>
      <c r="I345" s="61"/>
      <c r="J345" s="125"/>
      <c r="K345" s="122"/>
      <c r="L345" s="122"/>
      <c r="M345" s="126"/>
      <c r="N345" s="126"/>
      <c r="O345" s="126"/>
      <c r="P345" s="126"/>
      <c r="Q345" s="126"/>
    </row>
    <row r="346" spans="1:17" ht="22.5" x14ac:dyDescent="0.25">
      <c r="A346" s="742">
        <v>16</v>
      </c>
      <c r="B346" s="742"/>
      <c r="C346" s="54" t="s">
        <v>665</v>
      </c>
      <c r="D346" s="742" t="s">
        <v>68</v>
      </c>
      <c r="E346" s="128">
        <f t="shared" si="17"/>
        <v>2</v>
      </c>
      <c r="F346" s="742">
        <v>1</v>
      </c>
      <c r="G346" s="61"/>
      <c r="H346" s="123"/>
      <c r="I346" s="61"/>
      <c r="J346" s="125"/>
      <c r="K346" s="122"/>
      <c r="L346" s="122"/>
      <c r="M346" s="126"/>
      <c r="N346" s="126"/>
      <c r="O346" s="126"/>
      <c r="P346" s="126"/>
      <c r="Q346" s="126"/>
    </row>
    <row r="347" spans="1:17" x14ac:dyDescent="0.25">
      <c r="A347" s="742"/>
      <c r="B347" s="742"/>
      <c r="C347" s="565" t="s">
        <v>692</v>
      </c>
      <c r="D347" s="565"/>
      <c r="E347" s="128"/>
      <c r="F347" s="565"/>
      <c r="G347" s="564"/>
      <c r="H347" s="107"/>
      <c r="I347" s="107"/>
      <c r="J347" s="107"/>
      <c r="K347" s="107"/>
      <c r="L347" s="107"/>
      <c r="M347" s="107"/>
      <c r="N347" s="107"/>
      <c r="O347" s="564"/>
      <c r="P347" s="107"/>
      <c r="Q347" s="564"/>
    </row>
    <row r="348" spans="1:17" ht="15" x14ac:dyDescent="0.25">
      <c r="A348" s="742"/>
      <c r="B348" s="742"/>
      <c r="C348" s="759" t="s">
        <v>760</v>
      </c>
      <c r="D348" s="760"/>
      <c r="E348" s="128"/>
      <c r="F348" s="742"/>
      <c r="G348" s="565"/>
      <c r="H348" s="565"/>
      <c r="I348" s="565"/>
      <c r="J348" s="565"/>
      <c r="K348" s="565"/>
      <c r="L348" s="565"/>
      <c r="M348" s="565"/>
      <c r="N348" s="565"/>
      <c r="O348" s="565"/>
      <c r="P348" s="565"/>
      <c r="Q348" s="565"/>
    </row>
    <row r="349" spans="1:17" ht="33.75" x14ac:dyDescent="0.25">
      <c r="A349" s="742">
        <v>4</v>
      </c>
      <c r="B349" s="742"/>
      <c r="C349" s="809" t="s">
        <v>919</v>
      </c>
      <c r="D349" s="128" t="s">
        <v>68</v>
      </c>
      <c r="E349" s="128">
        <f t="shared" ref="E349:E361" si="18">4*F349</f>
        <v>16</v>
      </c>
      <c r="F349" s="128">
        <v>4</v>
      </c>
      <c r="G349" s="61"/>
      <c r="H349" s="123"/>
      <c r="I349" s="61"/>
      <c r="J349" s="125"/>
      <c r="K349" s="122"/>
      <c r="L349" s="122"/>
      <c r="M349" s="126"/>
      <c r="N349" s="126"/>
      <c r="O349" s="126"/>
      <c r="P349" s="126"/>
      <c r="Q349" s="126"/>
    </row>
    <row r="350" spans="1:17" ht="33.75" x14ac:dyDescent="0.25">
      <c r="A350" s="742">
        <v>5</v>
      </c>
      <c r="B350" s="742"/>
      <c r="C350" s="808" t="s">
        <v>956</v>
      </c>
      <c r="D350" s="742" t="s">
        <v>233</v>
      </c>
      <c r="E350" s="128">
        <f t="shared" si="18"/>
        <v>16</v>
      </c>
      <c r="F350" s="742">
        <v>4</v>
      </c>
      <c r="G350" s="61"/>
      <c r="H350" s="123"/>
      <c r="I350" s="61"/>
      <c r="J350" s="125"/>
      <c r="K350" s="122"/>
      <c r="L350" s="122"/>
      <c r="M350" s="126"/>
      <c r="N350" s="126"/>
      <c r="O350" s="126"/>
      <c r="P350" s="126"/>
      <c r="Q350" s="126"/>
    </row>
    <row r="351" spans="1:17" ht="22.5" x14ac:dyDescent="0.25">
      <c r="A351" s="742">
        <v>6</v>
      </c>
      <c r="B351" s="742"/>
      <c r="C351" s="814" t="s">
        <v>957</v>
      </c>
      <c r="D351" s="742" t="s">
        <v>16</v>
      </c>
      <c r="E351" s="128">
        <f t="shared" si="18"/>
        <v>304</v>
      </c>
      <c r="F351" s="742">
        <v>76</v>
      </c>
      <c r="G351" s="61"/>
      <c r="H351" s="123"/>
      <c r="I351" s="61"/>
      <c r="J351" s="125"/>
      <c r="K351" s="122"/>
      <c r="L351" s="122"/>
      <c r="M351" s="126"/>
      <c r="N351" s="126"/>
      <c r="O351" s="126"/>
      <c r="P351" s="126"/>
      <c r="Q351" s="126"/>
    </row>
    <row r="352" spans="1:17" x14ac:dyDescent="0.25">
      <c r="A352" s="742">
        <v>7</v>
      </c>
      <c r="B352" s="742"/>
      <c r="C352" s="54" t="s">
        <v>674</v>
      </c>
      <c r="D352" s="742" t="s">
        <v>233</v>
      </c>
      <c r="E352" s="128">
        <f t="shared" si="18"/>
        <v>168</v>
      </c>
      <c r="F352" s="742">
        <v>42</v>
      </c>
      <c r="G352" s="61"/>
      <c r="H352" s="123"/>
      <c r="I352" s="61"/>
      <c r="J352" s="125"/>
      <c r="K352" s="122"/>
      <c r="L352" s="122"/>
      <c r="M352" s="126"/>
      <c r="N352" s="126"/>
      <c r="O352" s="126"/>
      <c r="P352" s="126"/>
      <c r="Q352" s="126"/>
    </row>
    <row r="353" spans="1:17" x14ac:dyDescent="0.25">
      <c r="A353" s="742">
        <v>8</v>
      </c>
      <c r="B353" s="742"/>
      <c r="C353" s="54" t="s">
        <v>675</v>
      </c>
      <c r="D353" s="742" t="s">
        <v>233</v>
      </c>
      <c r="E353" s="128">
        <f t="shared" si="18"/>
        <v>24</v>
      </c>
      <c r="F353" s="742">
        <v>6</v>
      </c>
      <c r="G353" s="61"/>
      <c r="H353" s="123"/>
      <c r="I353" s="61"/>
      <c r="J353" s="125"/>
      <c r="K353" s="122"/>
      <c r="L353" s="122"/>
      <c r="M353" s="126"/>
      <c r="N353" s="126"/>
      <c r="O353" s="126"/>
      <c r="P353" s="126"/>
      <c r="Q353" s="126"/>
    </row>
    <row r="354" spans="1:17" x14ac:dyDescent="0.25">
      <c r="A354" s="742">
        <v>9</v>
      </c>
      <c r="B354" s="742"/>
      <c r="C354" s="381" t="s">
        <v>662</v>
      </c>
      <c r="D354" s="742" t="s">
        <v>233</v>
      </c>
      <c r="E354" s="128">
        <f t="shared" si="18"/>
        <v>8</v>
      </c>
      <c r="F354" s="742">
        <v>2</v>
      </c>
      <c r="G354" s="61"/>
      <c r="H354" s="123"/>
      <c r="I354" s="61"/>
      <c r="J354" s="125"/>
      <c r="K354" s="122"/>
      <c r="L354" s="122"/>
      <c r="M354" s="126"/>
      <c r="N354" s="126"/>
      <c r="O354" s="126"/>
      <c r="P354" s="126"/>
      <c r="Q354" s="126"/>
    </row>
    <row r="355" spans="1:17" ht="22.5" x14ac:dyDescent="0.25">
      <c r="A355" s="742">
        <v>10</v>
      </c>
      <c r="B355" s="742"/>
      <c r="C355" s="54" t="s">
        <v>676</v>
      </c>
      <c r="D355" s="742" t="s">
        <v>233</v>
      </c>
      <c r="E355" s="128">
        <f t="shared" si="18"/>
        <v>32</v>
      </c>
      <c r="F355" s="742">
        <v>8</v>
      </c>
      <c r="G355" s="123"/>
      <c r="H355" s="123"/>
      <c r="I355" s="123"/>
      <c r="J355" s="124"/>
      <c r="K355" s="122"/>
      <c r="L355" s="122"/>
      <c r="M355" s="126"/>
      <c r="N355" s="126"/>
      <c r="O355" s="126"/>
      <c r="P355" s="126"/>
      <c r="Q355" s="126"/>
    </row>
    <row r="356" spans="1:17" x14ac:dyDescent="0.25">
      <c r="A356" s="742">
        <v>11</v>
      </c>
      <c r="B356" s="742"/>
      <c r="C356" s="54" t="s">
        <v>657</v>
      </c>
      <c r="D356" s="742" t="s">
        <v>23</v>
      </c>
      <c r="E356" s="128">
        <f t="shared" si="18"/>
        <v>2</v>
      </c>
      <c r="F356" s="742">
        <v>0.5</v>
      </c>
      <c r="G356" s="61"/>
      <c r="H356" s="123"/>
      <c r="I356" s="61"/>
      <c r="J356" s="125"/>
      <c r="K356" s="122"/>
      <c r="L356" s="122"/>
      <c r="M356" s="126"/>
      <c r="N356" s="126"/>
      <c r="O356" s="126"/>
      <c r="P356" s="126"/>
      <c r="Q356" s="126"/>
    </row>
    <row r="357" spans="1:17" x14ac:dyDescent="0.25">
      <c r="A357" s="742">
        <v>12</v>
      </c>
      <c r="B357" s="742"/>
      <c r="C357" s="54" t="s">
        <v>238</v>
      </c>
      <c r="D357" s="742" t="s">
        <v>68</v>
      </c>
      <c r="E357" s="128">
        <f t="shared" si="18"/>
        <v>4</v>
      </c>
      <c r="F357" s="742">
        <v>1</v>
      </c>
      <c r="G357" s="61"/>
      <c r="H357" s="123"/>
      <c r="I357" s="61"/>
      <c r="J357" s="125"/>
      <c r="K357" s="122"/>
      <c r="L357" s="122"/>
      <c r="M357" s="126"/>
      <c r="N357" s="126"/>
      <c r="O357" s="126"/>
      <c r="P357" s="126"/>
      <c r="Q357" s="126"/>
    </row>
    <row r="358" spans="1:17" ht="22.5" x14ac:dyDescent="0.25">
      <c r="A358" s="742">
        <v>13</v>
      </c>
      <c r="B358" s="742"/>
      <c r="C358" s="54" t="s">
        <v>671</v>
      </c>
      <c r="D358" s="742" t="s">
        <v>16</v>
      </c>
      <c r="E358" s="128">
        <f t="shared" si="18"/>
        <v>16</v>
      </c>
      <c r="F358" s="742">
        <v>4</v>
      </c>
      <c r="G358" s="61"/>
      <c r="H358" s="123"/>
      <c r="I358" s="61"/>
      <c r="J358" s="125"/>
      <c r="K358" s="122"/>
      <c r="L358" s="122"/>
      <c r="M358" s="126"/>
      <c r="N358" s="126"/>
      <c r="O358" s="126"/>
      <c r="P358" s="126"/>
      <c r="Q358" s="126"/>
    </row>
    <row r="359" spans="1:17" x14ac:dyDescent="0.25">
      <c r="A359" s="742">
        <v>14</v>
      </c>
      <c r="B359" s="742"/>
      <c r="C359" s="54" t="s">
        <v>677</v>
      </c>
      <c r="D359" s="742" t="s">
        <v>233</v>
      </c>
      <c r="E359" s="128">
        <f t="shared" si="18"/>
        <v>8</v>
      </c>
      <c r="F359" s="742">
        <v>2</v>
      </c>
      <c r="G359" s="61"/>
      <c r="H359" s="123"/>
      <c r="I359" s="61"/>
      <c r="J359" s="125"/>
      <c r="K359" s="122"/>
      <c r="L359" s="122"/>
      <c r="M359" s="126"/>
      <c r="N359" s="126"/>
      <c r="O359" s="126"/>
      <c r="P359" s="126"/>
      <c r="Q359" s="126"/>
    </row>
    <row r="360" spans="1:17" x14ac:dyDescent="0.25">
      <c r="A360" s="742">
        <v>15</v>
      </c>
      <c r="B360" s="742"/>
      <c r="C360" s="54" t="s">
        <v>658</v>
      </c>
      <c r="D360" s="742" t="s">
        <v>68</v>
      </c>
      <c r="E360" s="128">
        <f t="shared" si="18"/>
        <v>4</v>
      </c>
      <c r="F360" s="742">
        <v>1</v>
      </c>
      <c r="G360" s="61"/>
      <c r="H360" s="123"/>
      <c r="I360" s="61"/>
      <c r="J360" s="125"/>
      <c r="K360" s="122"/>
      <c r="L360" s="122"/>
      <c r="M360" s="126"/>
      <c r="N360" s="126"/>
      <c r="O360" s="126"/>
      <c r="P360" s="126"/>
      <c r="Q360" s="126"/>
    </row>
    <row r="361" spans="1:17" ht="22.5" x14ac:dyDescent="0.25">
      <c r="A361" s="742">
        <v>16</v>
      </c>
      <c r="B361" s="742"/>
      <c r="C361" s="54" t="s">
        <v>665</v>
      </c>
      <c r="D361" s="742" t="s">
        <v>68</v>
      </c>
      <c r="E361" s="128">
        <f t="shared" si="18"/>
        <v>4</v>
      </c>
      <c r="F361" s="742">
        <v>1</v>
      </c>
      <c r="G361" s="61"/>
      <c r="H361" s="123"/>
      <c r="I361" s="61"/>
      <c r="J361" s="125"/>
      <c r="K361" s="122"/>
      <c r="L361" s="122"/>
      <c r="M361" s="126"/>
      <c r="N361" s="126"/>
      <c r="O361" s="126"/>
      <c r="P361" s="126"/>
      <c r="Q361" s="126"/>
    </row>
    <row r="363" spans="1:17" ht="22.5" x14ac:dyDescent="0.25">
      <c r="A363" s="398"/>
      <c r="B363" s="74"/>
      <c r="C363" s="353" t="s">
        <v>179</v>
      </c>
      <c r="D363" s="17"/>
      <c r="E363" s="162"/>
      <c r="F363" s="162"/>
      <c r="G363" s="17"/>
      <c r="H363" s="17"/>
      <c r="I363" s="17"/>
      <c r="J363" s="17"/>
      <c r="K363" s="17"/>
      <c r="L363" s="17"/>
      <c r="M363" s="20">
        <f>SUM(M12:M361)</f>
        <v>0</v>
      </c>
      <c r="N363" s="20">
        <f>SUM(N12:N361)</f>
        <v>0</v>
      </c>
      <c r="O363" s="20">
        <f>SUM(O12:O361)</f>
        <v>0</v>
      </c>
      <c r="P363" s="20">
        <f>SUM(P12:P361)</f>
        <v>0</v>
      </c>
      <c r="Q363" s="20">
        <f>SUM(Q12:Q361)</f>
        <v>0</v>
      </c>
    </row>
    <row r="364" spans="1:17" x14ac:dyDescent="0.25">
      <c r="A364" s="398"/>
      <c r="B364" s="74"/>
      <c r="C364" s="71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</row>
    <row r="365" spans="1:17" x14ac:dyDescent="0.25">
      <c r="A365" s="398"/>
      <c r="B365" s="140" t="str">
        <f>sas</f>
        <v>Sastādīja:</v>
      </c>
      <c r="C365" s="8"/>
      <c r="D365" s="723"/>
      <c r="E365" s="723"/>
      <c r="F365" s="723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</row>
    <row r="366" spans="1:17" x14ac:dyDescent="0.25">
      <c r="A366" s="398"/>
      <c r="B366" s="144"/>
      <c r="C366" s="378" t="s">
        <v>145</v>
      </c>
      <c r="D366" s="144"/>
      <c r="E366" s="144"/>
      <c r="F366" s="723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</row>
    <row r="367" spans="1:17" x14ac:dyDescent="0.25">
      <c r="A367" s="398"/>
      <c r="B367" s="161"/>
      <c r="C367" s="143"/>
      <c r="D367" s="144"/>
      <c r="E367" s="144"/>
      <c r="F367" s="723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</row>
    <row r="368" spans="1:17" x14ac:dyDescent="0.25">
      <c r="A368" s="398"/>
      <c r="B368" s="144"/>
      <c r="C368" s="140" t="str">
        <f>dat</f>
        <v>Tāme sastādīta 201__. gada __.____________</v>
      </c>
      <c r="D368" s="144"/>
      <c r="E368" s="144"/>
      <c r="F368" s="723"/>
      <c r="G368" s="78"/>
      <c r="H368" s="78"/>
      <c r="I368" s="78"/>
      <c r="J368" s="78"/>
      <c r="K368" s="78"/>
      <c r="L368" s="76"/>
      <c r="M368" s="78"/>
      <c r="N368" s="78"/>
      <c r="O368" s="78"/>
      <c r="P368" s="78"/>
      <c r="Q368" s="78"/>
    </row>
    <row r="369" spans="1:17" x14ac:dyDescent="0.25">
      <c r="A369" s="398"/>
      <c r="B369" s="161"/>
      <c r="C369" s="143"/>
      <c r="D369" s="144"/>
      <c r="E369" s="144"/>
      <c r="F369" s="723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</row>
    <row r="370" spans="1:17" x14ac:dyDescent="0.25">
      <c r="A370" s="148"/>
      <c r="B370" s="144" t="s">
        <v>147</v>
      </c>
      <c r="C370" s="8"/>
      <c r="D370" s="287"/>
      <c r="F370" s="739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</row>
    <row r="371" spans="1:17" x14ac:dyDescent="0.25">
      <c r="A371" s="398"/>
      <c r="B371" s="144"/>
      <c r="C371" s="378" t="s">
        <v>145</v>
      </c>
      <c r="D371" s="287"/>
      <c r="F371" s="739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</row>
    <row r="372" spans="1:17" x14ac:dyDescent="0.25">
      <c r="A372" s="398"/>
      <c r="B372" s="161"/>
      <c r="C372" s="8" t="s">
        <v>148</v>
      </c>
      <c r="D372" s="287"/>
      <c r="F372" s="739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1:17" x14ac:dyDescent="0.25">
      <c r="A373" s="399"/>
      <c r="B373" s="18"/>
      <c r="C373" s="354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1:17" x14ac:dyDescent="0.25">
      <c r="A374" s="399"/>
      <c r="B374" s="18"/>
      <c r="C374" s="354"/>
      <c r="D374" s="18"/>
      <c r="E374" s="18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</row>
    <row r="375" spans="1:17" x14ac:dyDescent="0.25">
      <c r="A375" s="398"/>
      <c r="B375" s="74"/>
      <c r="C375" s="35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</row>
    <row r="376" spans="1:17" x14ac:dyDescent="0.25">
      <c r="A376" s="398"/>
      <c r="B376" s="74"/>
      <c r="C376" s="35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</row>
  </sheetData>
  <mergeCells count="9">
    <mergeCell ref="C111:E111"/>
    <mergeCell ref="A1:E1"/>
    <mergeCell ref="C9:C10"/>
    <mergeCell ref="D9:D10"/>
    <mergeCell ref="G9:L9"/>
    <mergeCell ref="M9:Q9"/>
    <mergeCell ref="A9:A10"/>
    <mergeCell ref="B9:B10"/>
    <mergeCell ref="E9:E10"/>
  </mergeCells>
  <pageMargins left="0.23622047244094491" right="0.23622047244094491" top="0.74803149606299213" bottom="0" header="0.31496062992125984" footer="0.31496062992125984"/>
  <pageSetup paperSize="9" scale="63" orientation="portrait" r:id="rId1"/>
  <rowBreaks count="2" manualBreakCount="2">
    <brk id="110" max="16" man="1"/>
    <brk id="361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Q45"/>
  <sheetViews>
    <sheetView view="pageBreakPreview" zoomScale="85" zoomScaleNormal="115" zoomScaleSheetLayoutView="85" workbookViewId="0">
      <selection activeCell="C22" sqref="C22:C24"/>
    </sheetView>
  </sheetViews>
  <sheetFormatPr defaultColWidth="8.5703125" defaultRowHeight="11.25" x14ac:dyDescent="0.25"/>
  <cols>
    <col min="1" max="1" width="3.42578125" style="168" customWidth="1"/>
    <col min="2" max="2" width="3.28515625" style="88" customWidth="1"/>
    <col min="3" max="3" width="38.42578125" style="88" customWidth="1"/>
    <col min="4" max="4" width="11.5703125" style="88" customWidth="1"/>
    <col min="5" max="5" width="8.28515625" style="88" customWidth="1"/>
    <col min="6" max="6" width="4.5703125" style="88" customWidth="1"/>
    <col min="7" max="7" width="5.5703125" style="88" customWidth="1"/>
    <col min="8" max="8" width="4.85546875" style="88" customWidth="1"/>
    <col min="9" max="9" width="6" style="88" customWidth="1"/>
    <col min="10" max="10" width="6.5703125" style="88" customWidth="1"/>
    <col min="11" max="11" width="5.42578125" style="88" customWidth="1"/>
    <col min="12" max="12" width="6.7109375" style="88" customWidth="1"/>
    <col min="13" max="15" width="8.5703125" style="88" customWidth="1"/>
    <col min="16" max="16" width="9.140625" style="88" customWidth="1"/>
    <col min="17" max="17" width="8.5703125" style="88" customWidth="1"/>
    <col min="18" max="16384" width="8.5703125" style="88"/>
  </cols>
  <sheetData>
    <row r="1" spans="1:17" s="4" customFormat="1" ht="12" thickBot="1" x14ac:dyDescent="0.3">
      <c r="A1" s="403"/>
      <c r="B1" s="62"/>
      <c r="C1" s="62"/>
      <c r="D1" s="62"/>
      <c r="E1" s="62"/>
      <c r="F1" s="62"/>
      <c r="G1" s="191" t="s">
        <v>6</v>
      </c>
      <c r="H1" s="192">
        <f>KPDV!A32</f>
        <v>20</v>
      </c>
      <c r="I1" s="62"/>
      <c r="J1" s="62"/>
      <c r="K1" s="62"/>
      <c r="L1" s="62"/>
      <c r="M1" s="62"/>
    </row>
    <row r="2" spans="1:17" s="4" customFormat="1" x14ac:dyDescent="0.25">
      <c r="A2" s="403"/>
      <c r="B2" s="62"/>
      <c r="C2" s="408" t="s">
        <v>90</v>
      </c>
      <c r="D2" s="62"/>
      <c r="E2" s="62"/>
      <c r="F2" s="62"/>
      <c r="G2" s="191"/>
      <c r="H2" s="193"/>
      <c r="I2" s="62"/>
      <c r="J2" s="62"/>
      <c r="K2" s="62"/>
      <c r="L2" s="62"/>
      <c r="M2" s="62"/>
    </row>
    <row r="3" spans="1:17" s="4" customFormat="1" x14ac:dyDescent="0.25">
      <c r="A3" s="190" t="str">
        <f>nos</f>
        <v>Būves nosaukums:  Dzīvojamās māja</v>
      </c>
      <c r="B3" s="62"/>
    </row>
    <row r="4" spans="1:17" s="4" customFormat="1" x14ac:dyDescent="0.25">
      <c r="A4" s="168" t="str">
        <f>obj</f>
        <v>Objekta nosaukums: Dzīvojamās ēkas fasādes vienkāršota atjaunošana</v>
      </c>
      <c r="B4" s="62"/>
    </row>
    <row r="5" spans="1:17" s="4" customFormat="1" x14ac:dyDescent="0.25">
      <c r="A5" s="168" t="str">
        <f>adres</f>
        <v>Objekta adrese: Aisteres iela 7, Liepājā</v>
      </c>
      <c r="B5" s="62"/>
    </row>
    <row r="6" spans="1:17" s="4" customFormat="1" x14ac:dyDescent="0.25">
      <c r="A6" s="168" t="str">
        <f>nr</f>
        <v>Pasūtījuma Nr.WS-41-17</v>
      </c>
      <c r="B6" s="62"/>
    </row>
    <row r="7" spans="1:17" s="4" customFormat="1" ht="23.25" thickBot="1" x14ac:dyDescent="0.3">
      <c r="A7" s="190"/>
      <c r="B7" s="7"/>
      <c r="C7" s="186" t="s">
        <v>695</v>
      </c>
      <c r="D7" s="162"/>
      <c r="E7" s="171" t="s">
        <v>159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</row>
    <row r="8" spans="1:17" s="360" customFormat="1" ht="12" thickBot="1" x14ac:dyDescent="0.3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194" t="e">
        <f>#REF!</f>
        <v>#REF!</v>
      </c>
    </row>
    <row r="9" spans="1:17" s="4" customForma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x14ac:dyDescent="0.25">
      <c r="A10" s="865" t="s">
        <v>7</v>
      </c>
      <c r="B10" s="866" t="s">
        <v>8</v>
      </c>
      <c r="C10" s="868" t="s">
        <v>9</v>
      </c>
      <c r="D10" s="868"/>
      <c r="E10" s="867" t="s">
        <v>51</v>
      </c>
      <c r="F10" s="866" t="s">
        <v>10</v>
      </c>
      <c r="G10" s="829" t="s">
        <v>67</v>
      </c>
      <c r="H10" s="829"/>
      <c r="I10" s="829"/>
      <c r="J10" s="829"/>
      <c r="K10" s="829"/>
      <c r="L10" s="829"/>
      <c r="M10" s="829" t="s">
        <v>11</v>
      </c>
      <c r="N10" s="829"/>
      <c r="O10" s="829"/>
      <c r="P10" s="829"/>
      <c r="Q10" s="829"/>
    </row>
    <row r="11" spans="1:17" ht="113.25" x14ac:dyDescent="0.25">
      <c r="A11" s="865"/>
      <c r="B11" s="866"/>
      <c r="C11" s="868"/>
      <c r="D11" s="868"/>
      <c r="E11" s="867"/>
      <c r="F11" s="866"/>
      <c r="G11" s="749" t="s">
        <v>12</v>
      </c>
      <c r="H11" s="749" t="s">
        <v>601</v>
      </c>
      <c r="I11" s="749" t="s">
        <v>602</v>
      </c>
      <c r="J11" s="749" t="s">
        <v>603</v>
      </c>
      <c r="K11" s="749" t="s">
        <v>604</v>
      </c>
      <c r="L11" s="749" t="s">
        <v>605</v>
      </c>
      <c r="M11" s="749" t="s">
        <v>13</v>
      </c>
      <c r="N11" s="749" t="s">
        <v>602</v>
      </c>
      <c r="O11" s="749" t="s">
        <v>603</v>
      </c>
      <c r="P11" s="749" t="s">
        <v>604</v>
      </c>
      <c r="Q11" s="749" t="s">
        <v>606</v>
      </c>
    </row>
    <row r="12" spans="1:17" x14ac:dyDescent="0.25">
      <c r="A12" s="404">
        <v>1</v>
      </c>
      <c r="B12" s="233">
        <f>A12+1</f>
        <v>2</v>
      </c>
      <c r="C12" s="863">
        <f>B12+1</f>
        <v>3</v>
      </c>
      <c r="D12" s="864"/>
      <c r="E12" s="233">
        <f>C12+1</f>
        <v>4</v>
      </c>
      <c r="F12" s="233">
        <f t="shared" ref="F12:Q12" si="0">E12+1</f>
        <v>5</v>
      </c>
      <c r="G12" s="234">
        <f t="shared" si="0"/>
        <v>6</v>
      </c>
      <c r="H12" s="234">
        <f t="shared" si="0"/>
        <v>7</v>
      </c>
      <c r="I12" s="234">
        <f t="shared" si="0"/>
        <v>8</v>
      </c>
      <c r="J12" s="234">
        <f t="shared" si="0"/>
        <v>9</v>
      </c>
      <c r="K12" s="234">
        <f t="shared" si="0"/>
        <v>10</v>
      </c>
      <c r="L12" s="234">
        <f t="shared" si="0"/>
        <v>11</v>
      </c>
      <c r="M12" s="234">
        <f t="shared" si="0"/>
        <v>12</v>
      </c>
      <c r="N12" s="234">
        <f t="shared" si="0"/>
        <v>13</v>
      </c>
      <c r="O12" s="234">
        <f t="shared" si="0"/>
        <v>14</v>
      </c>
      <c r="P12" s="234">
        <f t="shared" si="0"/>
        <v>15</v>
      </c>
      <c r="Q12" s="234">
        <f t="shared" si="0"/>
        <v>16</v>
      </c>
    </row>
    <row r="13" spans="1:17" x14ac:dyDescent="0.25">
      <c r="A13" s="736" t="str">
        <f>IF(COUNTBLANK(L13)=1," ",COUNTA($L$13:L13))</f>
        <v xml:space="preserve"> </v>
      </c>
      <c r="B13" s="111"/>
      <c r="C13" s="242" t="s">
        <v>597</v>
      </c>
      <c r="D13" s="107"/>
      <c r="E13" s="240"/>
      <c r="F13" s="111"/>
      <c r="G13" s="241"/>
      <c r="H13" s="105"/>
      <c r="I13" s="106"/>
      <c r="J13" s="106"/>
      <c r="K13" s="105"/>
      <c r="L13" s="106"/>
      <c r="M13" s="105"/>
      <c r="N13" s="105"/>
      <c r="O13" s="105"/>
      <c r="P13" s="105"/>
      <c r="Q13" s="105"/>
    </row>
    <row r="14" spans="1:17" s="115" customFormat="1" ht="45" x14ac:dyDescent="0.25">
      <c r="A14" s="736">
        <v>1</v>
      </c>
      <c r="B14" s="729"/>
      <c r="C14" s="95" t="s">
        <v>91</v>
      </c>
      <c r="D14" s="361" t="s">
        <v>92</v>
      </c>
      <c r="E14" s="743" t="s">
        <v>16</v>
      </c>
      <c r="F14" s="743">
        <v>932</v>
      </c>
      <c r="G14" s="611"/>
      <c r="H14" s="612"/>
      <c r="I14" s="613"/>
      <c r="J14" s="611"/>
      <c r="K14" s="614"/>
      <c r="L14" s="613"/>
      <c r="M14" s="613"/>
      <c r="N14" s="613"/>
      <c r="O14" s="613"/>
      <c r="P14" s="613"/>
      <c r="Q14" s="613"/>
    </row>
    <row r="15" spans="1:17" s="138" customFormat="1" x14ac:dyDescent="0.25">
      <c r="A15" s="736">
        <f>A14+1</f>
        <v>2</v>
      </c>
      <c r="B15" s="729"/>
      <c r="C15" s="872" t="s">
        <v>93</v>
      </c>
      <c r="D15" s="884" t="s">
        <v>960</v>
      </c>
      <c r="E15" s="174" t="s">
        <v>16</v>
      </c>
      <c r="F15" s="174">
        <v>483</v>
      </c>
      <c r="G15" s="615"/>
      <c r="H15" s="612"/>
      <c r="I15" s="616"/>
      <c r="J15" s="616"/>
      <c r="K15" s="614"/>
      <c r="L15" s="616"/>
      <c r="M15" s="616"/>
      <c r="N15" s="616"/>
      <c r="O15" s="616"/>
      <c r="P15" s="616"/>
      <c r="Q15" s="616"/>
    </row>
    <row r="16" spans="1:17" s="138" customFormat="1" x14ac:dyDescent="0.25">
      <c r="A16" s="736">
        <f t="shared" ref="A16:A34" si="1">A15+1</f>
        <v>3</v>
      </c>
      <c r="B16" s="729"/>
      <c r="C16" s="873"/>
      <c r="D16" s="884" t="s">
        <v>961</v>
      </c>
      <c r="E16" s="174" t="s">
        <v>16</v>
      </c>
      <c r="F16" s="174">
        <v>450</v>
      </c>
      <c r="G16" s="615"/>
      <c r="H16" s="612"/>
      <c r="I16" s="616"/>
      <c r="J16" s="616"/>
      <c r="K16" s="614"/>
      <c r="L16" s="616"/>
      <c r="M16" s="616"/>
      <c r="N16" s="616"/>
      <c r="O16" s="616"/>
      <c r="P16" s="616"/>
      <c r="Q16" s="616"/>
    </row>
    <row r="17" spans="1:17" s="138" customFormat="1" x14ac:dyDescent="0.25">
      <c r="A17" s="736">
        <f t="shared" si="1"/>
        <v>4</v>
      </c>
      <c r="B17" s="729"/>
      <c r="C17" s="885" t="s">
        <v>962</v>
      </c>
      <c r="D17" s="133" t="s">
        <v>94</v>
      </c>
      <c r="E17" s="174" t="s">
        <v>16</v>
      </c>
      <c r="F17" s="174">
        <v>33</v>
      </c>
      <c r="G17" s="612"/>
      <c r="H17" s="612"/>
      <c r="I17" s="616"/>
      <c r="J17" s="612"/>
      <c r="K17" s="614"/>
      <c r="L17" s="616"/>
      <c r="M17" s="616"/>
      <c r="N17" s="616"/>
      <c r="O17" s="616"/>
      <c r="P17" s="616"/>
      <c r="Q17" s="616"/>
    </row>
    <row r="18" spans="1:17" s="138" customFormat="1" x14ac:dyDescent="0.25">
      <c r="A18" s="736">
        <f t="shared" si="1"/>
        <v>5</v>
      </c>
      <c r="B18" s="729"/>
      <c r="C18" s="886"/>
      <c r="D18" s="133" t="s">
        <v>600</v>
      </c>
      <c r="E18" s="174" t="s">
        <v>16</v>
      </c>
      <c r="F18" s="174">
        <v>33</v>
      </c>
      <c r="G18" s="612"/>
      <c r="H18" s="612"/>
      <c r="I18" s="616"/>
      <c r="J18" s="612"/>
      <c r="K18" s="614"/>
      <c r="L18" s="616"/>
      <c r="M18" s="616"/>
      <c r="N18" s="616"/>
      <c r="O18" s="616"/>
      <c r="P18" s="616"/>
      <c r="Q18" s="616"/>
    </row>
    <row r="19" spans="1:17" s="138" customFormat="1" x14ac:dyDescent="0.25">
      <c r="A19" s="736">
        <f t="shared" si="1"/>
        <v>6</v>
      </c>
      <c r="B19" s="729"/>
      <c r="C19" s="872" t="s">
        <v>595</v>
      </c>
      <c r="D19" s="133" t="s">
        <v>95</v>
      </c>
      <c r="E19" s="174" t="s">
        <v>201</v>
      </c>
      <c r="F19" s="174">
        <v>70</v>
      </c>
      <c r="G19" s="615"/>
      <c r="H19" s="612"/>
      <c r="I19" s="616"/>
      <c r="J19" s="615"/>
      <c r="K19" s="614"/>
      <c r="L19" s="616"/>
      <c r="M19" s="616"/>
      <c r="N19" s="616"/>
      <c r="O19" s="616"/>
      <c r="P19" s="616"/>
      <c r="Q19" s="616"/>
    </row>
    <row r="20" spans="1:17" s="138" customFormat="1" x14ac:dyDescent="0.25">
      <c r="A20" s="736">
        <f t="shared" si="1"/>
        <v>7</v>
      </c>
      <c r="B20" s="729"/>
      <c r="C20" s="874"/>
      <c r="D20" s="133" t="s">
        <v>596</v>
      </c>
      <c r="E20" s="174" t="s">
        <v>201</v>
      </c>
      <c r="F20" s="174">
        <v>70</v>
      </c>
      <c r="G20" s="615"/>
      <c r="H20" s="612"/>
      <c r="I20" s="616"/>
      <c r="J20" s="615"/>
      <c r="K20" s="614"/>
      <c r="L20" s="616"/>
      <c r="M20" s="616"/>
      <c r="N20" s="616"/>
      <c r="O20" s="616"/>
      <c r="P20" s="616"/>
      <c r="Q20" s="616"/>
    </row>
    <row r="21" spans="1:17" s="138" customFormat="1" x14ac:dyDescent="0.25">
      <c r="A21" s="736">
        <f t="shared" si="1"/>
        <v>8</v>
      </c>
      <c r="B21" s="729"/>
      <c r="C21" s="873"/>
      <c r="D21" s="133" t="s">
        <v>97</v>
      </c>
      <c r="E21" s="174" t="s">
        <v>201</v>
      </c>
      <c r="F21" s="174">
        <v>65</v>
      </c>
      <c r="G21" s="615"/>
      <c r="H21" s="612"/>
      <c r="I21" s="616"/>
      <c r="J21" s="615"/>
      <c r="K21" s="614"/>
      <c r="L21" s="616"/>
      <c r="M21" s="616"/>
      <c r="N21" s="616"/>
      <c r="O21" s="616"/>
      <c r="P21" s="616"/>
      <c r="Q21" s="616"/>
    </row>
    <row r="22" spans="1:17" s="138" customFormat="1" x14ac:dyDescent="0.25">
      <c r="A22" s="736">
        <f t="shared" si="1"/>
        <v>9</v>
      </c>
      <c r="B22" s="729"/>
      <c r="C22" s="872" t="s">
        <v>96</v>
      </c>
      <c r="D22" s="133" t="s">
        <v>95</v>
      </c>
      <c r="E22" s="174" t="s">
        <v>201</v>
      </c>
      <c r="F22" s="174">
        <v>98</v>
      </c>
      <c r="G22" s="615"/>
      <c r="H22" s="612"/>
      <c r="I22" s="616"/>
      <c r="J22" s="615"/>
      <c r="K22" s="614"/>
      <c r="L22" s="616"/>
      <c r="M22" s="616"/>
      <c r="N22" s="616"/>
      <c r="O22" s="616"/>
      <c r="P22" s="616"/>
      <c r="Q22" s="616"/>
    </row>
    <row r="23" spans="1:17" s="138" customFormat="1" x14ac:dyDescent="0.25">
      <c r="A23" s="736">
        <f t="shared" si="1"/>
        <v>10</v>
      </c>
      <c r="B23" s="729"/>
      <c r="C23" s="874"/>
      <c r="D23" s="133" t="s">
        <v>97</v>
      </c>
      <c r="E23" s="174" t="s">
        <v>201</v>
      </c>
      <c r="F23" s="174">
        <v>91</v>
      </c>
      <c r="G23" s="615"/>
      <c r="H23" s="612"/>
      <c r="I23" s="616"/>
      <c r="J23" s="615"/>
      <c r="K23" s="614"/>
      <c r="L23" s="616"/>
      <c r="M23" s="616"/>
      <c r="N23" s="616"/>
      <c r="O23" s="616"/>
      <c r="P23" s="616"/>
      <c r="Q23" s="616"/>
    </row>
    <row r="24" spans="1:17" s="138" customFormat="1" x14ac:dyDescent="0.25">
      <c r="A24" s="736">
        <f t="shared" si="1"/>
        <v>11</v>
      </c>
      <c r="B24" s="729"/>
      <c r="C24" s="873"/>
      <c r="D24" s="133" t="s">
        <v>598</v>
      </c>
      <c r="E24" s="174" t="s">
        <v>201</v>
      </c>
      <c r="F24" s="174">
        <v>70</v>
      </c>
      <c r="G24" s="615"/>
      <c r="H24" s="612"/>
      <c r="I24" s="616"/>
      <c r="J24" s="615"/>
      <c r="K24" s="614"/>
      <c r="L24" s="616"/>
      <c r="M24" s="616"/>
      <c r="N24" s="616"/>
      <c r="O24" s="616"/>
      <c r="P24" s="616"/>
      <c r="Q24" s="616"/>
    </row>
    <row r="25" spans="1:17" s="138" customFormat="1" x14ac:dyDescent="0.25">
      <c r="A25" s="736">
        <f t="shared" si="1"/>
        <v>12</v>
      </c>
      <c r="B25" s="729"/>
      <c r="C25" s="872" t="s">
        <v>98</v>
      </c>
      <c r="D25" s="133" t="s">
        <v>99</v>
      </c>
      <c r="E25" s="174" t="s">
        <v>201</v>
      </c>
      <c r="F25" s="174">
        <v>70</v>
      </c>
      <c r="G25" s="615"/>
      <c r="H25" s="612"/>
      <c r="I25" s="616"/>
      <c r="J25" s="615"/>
      <c r="K25" s="614"/>
      <c r="L25" s="616"/>
      <c r="M25" s="616"/>
      <c r="N25" s="616"/>
      <c r="O25" s="616"/>
      <c r="P25" s="616"/>
      <c r="Q25" s="616"/>
    </row>
    <row r="26" spans="1:17" s="138" customFormat="1" x14ac:dyDescent="0.25">
      <c r="A26" s="736">
        <f t="shared" si="1"/>
        <v>13</v>
      </c>
      <c r="B26" s="729"/>
      <c r="C26" s="873"/>
      <c r="D26" s="133" t="s">
        <v>100</v>
      </c>
      <c r="E26" s="174" t="s">
        <v>201</v>
      </c>
      <c r="F26" s="174">
        <v>65</v>
      </c>
      <c r="G26" s="615"/>
      <c r="H26" s="612"/>
      <c r="I26" s="616"/>
      <c r="J26" s="615"/>
      <c r="K26" s="614"/>
      <c r="L26" s="616"/>
      <c r="M26" s="616"/>
      <c r="N26" s="616"/>
      <c r="O26" s="616"/>
      <c r="P26" s="616"/>
      <c r="Q26" s="616"/>
    </row>
    <row r="27" spans="1:17" s="138" customFormat="1" x14ac:dyDescent="0.25">
      <c r="A27" s="736">
        <f t="shared" si="1"/>
        <v>14</v>
      </c>
      <c r="B27" s="729"/>
      <c r="C27" s="751" t="s">
        <v>101</v>
      </c>
      <c r="D27" s="133" t="s">
        <v>99</v>
      </c>
      <c r="E27" s="174" t="s">
        <v>201</v>
      </c>
      <c r="F27" s="174">
        <v>70</v>
      </c>
      <c r="G27" s="615"/>
      <c r="H27" s="612"/>
      <c r="I27" s="616"/>
      <c r="J27" s="615"/>
      <c r="K27" s="614"/>
      <c r="L27" s="616"/>
      <c r="M27" s="616"/>
      <c r="N27" s="616"/>
      <c r="O27" s="616"/>
      <c r="P27" s="616"/>
      <c r="Q27" s="616"/>
    </row>
    <row r="28" spans="1:17" x14ac:dyDescent="0.25">
      <c r="A28" s="736">
        <f t="shared" si="1"/>
        <v>15</v>
      </c>
      <c r="B28" s="107"/>
      <c r="C28" s="875" t="s">
        <v>74</v>
      </c>
      <c r="D28" s="750" t="s">
        <v>102</v>
      </c>
      <c r="E28" s="174" t="s">
        <v>201</v>
      </c>
      <c r="F28" s="726">
        <v>470</v>
      </c>
      <c r="G28" s="612"/>
      <c r="H28" s="612"/>
      <c r="I28" s="616"/>
      <c r="J28" s="616"/>
      <c r="K28" s="614"/>
      <c r="L28" s="616"/>
      <c r="M28" s="616"/>
      <c r="N28" s="616"/>
      <c r="O28" s="616"/>
      <c r="P28" s="616"/>
      <c r="Q28" s="616"/>
    </row>
    <row r="29" spans="1:17" x14ac:dyDescent="0.25">
      <c r="A29" s="736">
        <f t="shared" si="1"/>
        <v>16</v>
      </c>
      <c r="B29" s="107"/>
      <c r="C29" s="876"/>
      <c r="D29" s="750" t="s">
        <v>103</v>
      </c>
      <c r="E29" s="174" t="s">
        <v>201</v>
      </c>
      <c r="F29" s="726">
        <v>440</v>
      </c>
      <c r="G29" s="612"/>
      <c r="H29" s="612"/>
      <c r="I29" s="616"/>
      <c r="J29" s="616"/>
      <c r="K29" s="614"/>
      <c r="L29" s="616"/>
      <c r="M29" s="616"/>
      <c r="N29" s="616"/>
      <c r="O29" s="616"/>
      <c r="P29" s="616"/>
      <c r="Q29" s="616"/>
    </row>
    <row r="30" spans="1:17" x14ac:dyDescent="0.25">
      <c r="A30" s="736">
        <f t="shared" si="1"/>
        <v>17</v>
      </c>
      <c r="B30" s="107"/>
      <c r="C30" s="559" t="s">
        <v>104</v>
      </c>
      <c r="D30" s="750" t="s">
        <v>78</v>
      </c>
      <c r="E30" s="174" t="s">
        <v>201</v>
      </c>
      <c r="F30" s="726">
        <v>910</v>
      </c>
      <c r="G30" s="612"/>
      <c r="H30" s="612"/>
      <c r="I30" s="616"/>
      <c r="J30" s="616"/>
      <c r="K30" s="614"/>
      <c r="L30" s="616"/>
      <c r="M30" s="616"/>
      <c r="N30" s="616"/>
      <c r="O30" s="616"/>
      <c r="P30" s="616"/>
      <c r="Q30" s="616"/>
    </row>
    <row r="31" spans="1:17" x14ac:dyDescent="0.25">
      <c r="A31" s="736">
        <f t="shared" si="1"/>
        <v>18</v>
      </c>
      <c r="B31" s="107"/>
      <c r="C31" s="559" t="s">
        <v>79</v>
      </c>
      <c r="D31" s="750" t="s">
        <v>78</v>
      </c>
      <c r="E31" s="726" t="s">
        <v>16</v>
      </c>
      <c r="F31" s="726">
        <v>180</v>
      </c>
      <c r="G31" s="612"/>
      <c r="H31" s="612"/>
      <c r="I31" s="616"/>
      <c r="J31" s="616"/>
      <c r="K31" s="614"/>
      <c r="L31" s="616"/>
      <c r="M31" s="616"/>
      <c r="N31" s="616"/>
      <c r="O31" s="616"/>
      <c r="P31" s="616"/>
      <c r="Q31" s="616"/>
    </row>
    <row r="32" spans="1:17" x14ac:dyDescent="0.25">
      <c r="A32" s="736">
        <f t="shared" si="1"/>
        <v>19</v>
      </c>
      <c r="B32" s="107"/>
      <c r="C32" s="869" t="s">
        <v>105</v>
      </c>
      <c r="D32" s="133" t="s">
        <v>106</v>
      </c>
      <c r="E32" s="726" t="s">
        <v>203</v>
      </c>
      <c r="F32" s="726">
        <v>65</v>
      </c>
      <c r="G32" s="612"/>
      <c r="H32" s="612"/>
      <c r="I32" s="616"/>
      <c r="J32" s="616"/>
      <c r="K32" s="614"/>
      <c r="L32" s="616"/>
      <c r="M32" s="616"/>
      <c r="N32" s="616"/>
      <c r="O32" s="616"/>
      <c r="P32" s="616"/>
      <c r="Q32" s="616"/>
    </row>
    <row r="33" spans="1:17" x14ac:dyDescent="0.25">
      <c r="A33" s="736">
        <f t="shared" si="1"/>
        <v>20</v>
      </c>
      <c r="B33" s="107"/>
      <c r="C33" s="870"/>
      <c r="D33" s="726" t="s">
        <v>599</v>
      </c>
      <c r="E33" s="726" t="s">
        <v>203</v>
      </c>
      <c r="F33" s="726">
        <v>65</v>
      </c>
      <c r="G33" s="612"/>
      <c r="H33" s="612"/>
      <c r="I33" s="616"/>
      <c r="J33" s="616"/>
      <c r="K33" s="614"/>
      <c r="L33" s="616"/>
      <c r="M33" s="616"/>
      <c r="N33" s="616"/>
      <c r="O33" s="616"/>
      <c r="P33" s="616"/>
      <c r="Q33" s="616"/>
    </row>
    <row r="34" spans="1:17" x14ac:dyDescent="0.25">
      <c r="A34" s="736">
        <f t="shared" si="1"/>
        <v>21</v>
      </c>
      <c r="B34" s="107"/>
      <c r="C34" s="871"/>
      <c r="D34" s="133" t="s">
        <v>107</v>
      </c>
      <c r="E34" s="726" t="s">
        <v>203</v>
      </c>
      <c r="F34" s="726">
        <v>65</v>
      </c>
      <c r="G34" s="612"/>
      <c r="H34" s="612"/>
      <c r="I34" s="616"/>
      <c r="J34" s="616"/>
      <c r="K34" s="614"/>
      <c r="L34" s="616"/>
      <c r="M34" s="616"/>
      <c r="N34" s="616"/>
      <c r="O34" s="616"/>
      <c r="P34" s="616"/>
      <c r="Q34" s="616"/>
    </row>
    <row r="35" spans="1:17" s="115" customFormat="1" x14ac:dyDescent="0.25">
      <c r="A35" s="158"/>
      <c r="B35" s="17"/>
      <c r="C35" s="151"/>
      <c r="D35" s="367"/>
      <c r="E35" s="19"/>
      <c r="F35" s="19"/>
      <c r="G35" s="118"/>
      <c r="H35" s="119"/>
      <c r="I35" s="120"/>
      <c r="J35" s="118"/>
      <c r="K35" s="118"/>
      <c r="L35" s="120"/>
      <c r="M35" s="120"/>
      <c r="N35" s="120"/>
      <c r="O35" s="120"/>
      <c r="P35" s="120"/>
      <c r="Q35" s="120"/>
    </row>
    <row r="36" spans="1:17" s="369" customFormat="1" ht="22.5" x14ac:dyDescent="0.25">
      <c r="A36" s="409"/>
      <c r="B36" s="368"/>
      <c r="C36" s="217" t="s">
        <v>179</v>
      </c>
      <c r="D36" s="17"/>
      <c r="E36" s="162"/>
      <c r="F36" s="162"/>
      <c r="G36" s="17"/>
      <c r="H36" s="17"/>
      <c r="I36" s="17"/>
      <c r="J36" s="17"/>
      <c r="K36" s="17"/>
      <c r="L36" s="17"/>
      <c r="M36" s="20">
        <f>SUM(M14:M35)</f>
        <v>0</v>
      </c>
      <c r="N36" s="20">
        <f>SUM(N14:N35)</f>
        <v>0</v>
      </c>
      <c r="O36" s="20">
        <f>SUM(O14:O35)</f>
        <v>0</v>
      </c>
      <c r="P36" s="20">
        <f>SUM(P14:P35)</f>
        <v>0</v>
      </c>
      <c r="Q36" s="20">
        <f>SUM(Q14:Q35)</f>
        <v>0</v>
      </c>
    </row>
    <row r="37" spans="1:17" s="110" customFormat="1" x14ac:dyDescent="0.25">
      <c r="A37" s="406"/>
    </row>
    <row r="38" spans="1:17" s="110" customFormat="1" x14ac:dyDescent="0.25">
      <c r="A38" s="406"/>
      <c r="B38" s="140" t="str">
        <f>sas</f>
        <v>Sastādīja:</v>
      </c>
      <c r="C38" s="140"/>
      <c r="D38" s="94"/>
      <c r="E38" s="94"/>
      <c r="F38" s="94"/>
      <c r="G38" s="137"/>
      <c r="H38" s="137"/>
    </row>
    <row r="39" spans="1:17" s="110" customFormat="1" x14ac:dyDescent="0.25">
      <c r="A39" s="406"/>
      <c r="B39" s="140"/>
      <c r="C39" s="358" t="s">
        <v>145</v>
      </c>
      <c r="D39" s="140"/>
      <c r="E39" s="140"/>
      <c r="F39" s="94"/>
      <c r="G39" s="138"/>
      <c r="H39" s="138"/>
    </row>
    <row r="40" spans="1:17" s="110" customFormat="1" x14ac:dyDescent="0.25">
      <c r="A40" s="406"/>
      <c r="B40" s="161"/>
      <c r="C40" s="161"/>
      <c r="D40" s="140"/>
      <c r="E40" s="140"/>
      <c r="F40" s="94"/>
    </row>
    <row r="41" spans="1:17" x14ac:dyDescent="0.25">
      <c r="B41" s="140" t="str">
        <f>dat</f>
        <v>Tāme sastādīta 201__. gada __.____________</v>
      </c>
      <c r="C41" s="140"/>
      <c r="D41" s="140"/>
      <c r="E41" s="140"/>
      <c r="F41" s="94"/>
      <c r="G41" s="137"/>
      <c r="H41" s="137"/>
    </row>
    <row r="42" spans="1:17" x14ac:dyDescent="0.25">
      <c r="B42" s="161"/>
      <c r="C42" s="161"/>
      <c r="D42" s="140"/>
      <c r="E42" s="140"/>
      <c r="F42" s="94"/>
      <c r="G42" s="24"/>
      <c r="H42" s="24"/>
      <c r="N42" s="362"/>
      <c r="P42" s="362"/>
    </row>
    <row r="43" spans="1:17" x14ac:dyDescent="0.25">
      <c r="B43" s="140" t="s">
        <v>147</v>
      </c>
      <c r="C43" s="140"/>
      <c r="D43" s="100"/>
      <c r="E43" s="100"/>
      <c r="F43" s="45"/>
      <c r="N43" s="362"/>
      <c r="P43" s="362"/>
    </row>
    <row r="44" spans="1:17" x14ac:dyDescent="0.25">
      <c r="B44" s="140"/>
      <c r="C44" s="358" t="s">
        <v>145</v>
      </c>
      <c r="D44" s="100"/>
      <c r="E44" s="100"/>
      <c r="F44" s="45"/>
    </row>
    <row r="45" spans="1:17" x14ac:dyDescent="0.25">
      <c r="B45" s="161"/>
      <c r="C45" s="140" t="s">
        <v>148</v>
      </c>
      <c r="D45" s="100"/>
      <c r="E45" s="100"/>
      <c r="F45" s="45"/>
    </row>
  </sheetData>
  <mergeCells count="15">
    <mergeCell ref="C32:C34"/>
    <mergeCell ref="C17:C18"/>
    <mergeCell ref="C15:C16"/>
    <mergeCell ref="C19:C21"/>
    <mergeCell ref="C22:C24"/>
    <mergeCell ref="C25:C26"/>
    <mergeCell ref="C28:C29"/>
    <mergeCell ref="C12:D12"/>
    <mergeCell ref="A10:A11"/>
    <mergeCell ref="M10:Q10"/>
    <mergeCell ref="G10:L10"/>
    <mergeCell ref="F10:F11"/>
    <mergeCell ref="E10:E11"/>
    <mergeCell ref="C10:D11"/>
    <mergeCell ref="B10:B1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  <rowBreaks count="1" manualBreakCount="1">
    <brk id="34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Q36"/>
  <sheetViews>
    <sheetView view="pageBreakPreview" zoomScale="85" zoomScaleNormal="115" zoomScaleSheetLayoutView="85" workbookViewId="0">
      <selection activeCell="I19" sqref="I19"/>
    </sheetView>
  </sheetViews>
  <sheetFormatPr defaultColWidth="8.5703125" defaultRowHeight="11.25" x14ac:dyDescent="0.25"/>
  <cols>
    <col min="1" max="1" width="3.85546875" style="168" customWidth="1"/>
    <col min="2" max="2" width="2.85546875" style="88" customWidth="1"/>
    <col min="3" max="3" width="39.28515625" style="88" customWidth="1"/>
    <col min="4" max="4" width="11.5703125" style="88" customWidth="1"/>
    <col min="5" max="5" width="7.140625" style="88" customWidth="1"/>
    <col min="6" max="7" width="5.7109375" style="88" customWidth="1"/>
    <col min="8" max="8" width="5.28515625" style="88" customWidth="1"/>
    <col min="9" max="9" width="6.5703125" style="88" customWidth="1"/>
    <col min="10" max="10" width="6" style="88" customWidth="1"/>
    <col min="11" max="11" width="5.85546875" style="88" customWidth="1"/>
    <col min="12" max="12" width="6.5703125" style="88" customWidth="1"/>
    <col min="13" max="13" width="7.140625" style="88" customWidth="1"/>
    <col min="14" max="14" width="9" style="88" customWidth="1"/>
    <col min="15" max="15" width="8" style="88" customWidth="1"/>
    <col min="16" max="16" width="6.7109375" style="88" customWidth="1"/>
    <col min="17" max="17" width="9" style="88" customWidth="1"/>
    <col min="18" max="16384" width="8.5703125" style="88"/>
  </cols>
  <sheetData>
    <row r="1" spans="1:17" s="4" customFormat="1" ht="12" thickBot="1" x14ac:dyDescent="0.3">
      <c r="A1" s="403"/>
      <c r="B1" s="62"/>
      <c r="C1" s="62"/>
      <c r="D1" s="62"/>
      <c r="E1" s="62"/>
      <c r="F1" s="62"/>
      <c r="G1" s="191" t="s">
        <v>6</v>
      </c>
      <c r="H1" s="192">
        <f>KPDV!A33</f>
        <v>21</v>
      </c>
      <c r="I1" s="62"/>
      <c r="J1" s="62"/>
      <c r="K1" s="62"/>
      <c r="L1" s="62"/>
      <c r="M1" s="62"/>
    </row>
    <row r="2" spans="1:17" s="4" customFormat="1" x14ac:dyDescent="0.25">
      <c r="A2" s="403"/>
      <c r="B2" s="62"/>
      <c r="C2" s="43" t="s">
        <v>83</v>
      </c>
      <c r="D2" s="62"/>
      <c r="E2" s="62"/>
      <c r="F2" s="62"/>
      <c r="G2" s="191"/>
      <c r="H2" s="193"/>
      <c r="I2" s="62"/>
      <c r="J2" s="62"/>
      <c r="K2" s="62"/>
      <c r="L2" s="62"/>
      <c r="M2" s="62"/>
    </row>
    <row r="3" spans="1:17" s="4" customFormat="1" x14ac:dyDescent="0.25">
      <c r="A3" s="190" t="str">
        <f>nos</f>
        <v>Būves nosaukums:  Dzīvojamās māja</v>
      </c>
      <c r="B3" s="62"/>
    </row>
    <row r="4" spans="1:17" s="4" customFormat="1" x14ac:dyDescent="0.25">
      <c r="A4" s="168" t="str">
        <f>obj</f>
        <v>Objekta nosaukums: Dzīvojamās ēkas fasādes vienkāršota atjaunošana</v>
      </c>
      <c r="B4" s="62"/>
    </row>
    <row r="5" spans="1:17" s="4" customFormat="1" x14ac:dyDescent="0.25">
      <c r="A5" s="168" t="str">
        <f>adres</f>
        <v>Objekta adrese: Aisteres iela 7, Liepājā</v>
      </c>
      <c r="B5" s="62"/>
    </row>
    <row r="6" spans="1:17" s="4" customFormat="1" ht="12" thickBot="1" x14ac:dyDescent="0.3">
      <c r="A6" s="168" t="str">
        <f>nr</f>
        <v>Pasūtījuma Nr.WS-41-17</v>
      </c>
      <c r="B6" s="62"/>
    </row>
    <row r="7" spans="1:17" s="360" customFormat="1" ht="23.25" thickBot="1" x14ac:dyDescent="0.3">
      <c r="A7" s="190"/>
      <c r="B7" s="7"/>
      <c r="C7" s="186" t="s">
        <v>695</v>
      </c>
      <c r="D7" s="162"/>
      <c r="E7" s="171" t="s">
        <v>159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194" t="e">
        <f>#REF!</f>
        <v>#REF!</v>
      </c>
    </row>
    <row r="8" spans="1:17" s="4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43"/>
    </row>
    <row r="9" spans="1:17" x14ac:dyDescent="0.25">
      <c r="A9" s="830" t="s">
        <v>7</v>
      </c>
      <c r="B9" s="831" t="s">
        <v>8</v>
      </c>
      <c r="C9" s="868" t="s">
        <v>9</v>
      </c>
      <c r="D9" s="868"/>
      <c r="E9" s="867" t="s">
        <v>51</v>
      </c>
      <c r="F9" s="866" t="s">
        <v>10</v>
      </c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ht="69" x14ac:dyDescent="0.25">
      <c r="A10" s="830"/>
      <c r="B10" s="831"/>
      <c r="C10" s="868"/>
      <c r="D10" s="868"/>
      <c r="E10" s="867"/>
      <c r="F10" s="866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x14ac:dyDescent="0.25">
      <c r="A11" s="404">
        <v>1</v>
      </c>
      <c r="B11" s="233">
        <f>A11+1</f>
        <v>2</v>
      </c>
      <c r="C11" s="863">
        <f>B11+1</f>
        <v>3</v>
      </c>
      <c r="D11" s="864"/>
      <c r="E11" s="233">
        <f>C11+1</f>
        <v>4</v>
      </c>
      <c r="F11" s="233">
        <f>E11+1</f>
        <v>5</v>
      </c>
      <c r="G11" s="234">
        <f t="shared" ref="G11:Q11" si="0">F11+1</f>
        <v>6</v>
      </c>
      <c r="H11" s="234">
        <f t="shared" si="0"/>
        <v>7</v>
      </c>
      <c r="I11" s="234">
        <f t="shared" si="0"/>
        <v>8</v>
      </c>
      <c r="J11" s="234">
        <f t="shared" si="0"/>
        <v>9</v>
      </c>
      <c r="K11" s="234">
        <f t="shared" si="0"/>
        <v>10</v>
      </c>
      <c r="L11" s="234">
        <f t="shared" si="0"/>
        <v>11</v>
      </c>
      <c r="M11" s="234">
        <f t="shared" si="0"/>
        <v>12</v>
      </c>
      <c r="N11" s="234">
        <f t="shared" si="0"/>
        <v>13</v>
      </c>
      <c r="O11" s="234">
        <f t="shared" si="0"/>
        <v>14</v>
      </c>
      <c r="P11" s="234">
        <f t="shared" si="0"/>
        <v>15</v>
      </c>
      <c r="Q11" s="234">
        <f t="shared" si="0"/>
        <v>16</v>
      </c>
    </row>
    <row r="12" spans="1:17" x14ac:dyDescent="0.25">
      <c r="A12" s="736" t="str">
        <f>IF(COUNTBLANK(K12)=1," ",COUNTA($K$12:K12))</f>
        <v xml:space="preserve"> </v>
      </c>
      <c r="B12" s="233"/>
      <c r="C12" s="239" t="s">
        <v>607</v>
      </c>
      <c r="D12" s="233"/>
      <c r="E12" s="233"/>
      <c r="F12" s="233"/>
      <c r="G12" s="233"/>
      <c r="H12" s="105"/>
      <c r="I12" s="102"/>
      <c r="J12" s="233"/>
      <c r="K12" s="106"/>
      <c r="L12" s="102"/>
      <c r="M12" s="102"/>
      <c r="N12" s="102"/>
      <c r="O12" s="102"/>
      <c r="P12" s="102"/>
      <c r="Q12" s="102"/>
    </row>
    <row r="13" spans="1:17" s="110" customFormat="1" ht="45" x14ac:dyDescent="0.25">
      <c r="A13" s="736">
        <v>1</v>
      </c>
      <c r="B13" s="103"/>
      <c r="C13" s="108" t="s">
        <v>71</v>
      </c>
      <c r="D13" s="104" t="s">
        <v>84</v>
      </c>
      <c r="E13" s="726" t="s">
        <v>16</v>
      </c>
      <c r="F13" s="109">
        <v>690</v>
      </c>
      <c r="G13" s="560"/>
      <c r="H13" s="561"/>
      <c r="I13" s="560"/>
      <c r="J13" s="560"/>
      <c r="K13" s="562"/>
      <c r="L13" s="560"/>
      <c r="M13" s="560"/>
      <c r="N13" s="560"/>
      <c r="O13" s="560"/>
      <c r="P13" s="560"/>
      <c r="Q13" s="560"/>
    </row>
    <row r="14" spans="1:17" s="110" customFormat="1" ht="33.75" x14ac:dyDescent="0.25">
      <c r="A14" s="736">
        <v>2</v>
      </c>
      <c r="B14" s="103"/>
      <c r="C14" s="108" t="s">
        <v>72</v>
      </c>
      <c r="D14" s="104" t="s">
        <v>73</v>
      </c>
      <c r="E14" s="726" t="s">
        <v>203</v>
      </c>
      <c r="F14" s="726">
        <v>135</v>
      </c>
      <c r="G14" s="561"/>
      <c r="H14" s="561"/>
      <c r="I14" s="560"/>
      <c r="J14" s="561"/>
      <c r="K14" s="562"/>
      <c r="L14" s="560"/>
      <c r="M14" s="560"/>
      <c r="N14" s="560"/>
      <c r="O14" s="560"/>
      <c r="P14" s="560"/>
      <c r="Q14" s="560"/>
    </row>
    <row r="15" spans="1:17" s="110" customFormat="1" x14ac:dyDescent="0.25">
      <c r="A15" s="736">
        <v>3</v>
      </c>
      <c r="B15" s="107"/>
      <c r="C15" s="877" t="s">
        <v>608</v>
      </c>
      <c r="D15" s="750" t="s">
        <v>85</v>
      </c>
      <c r="E15" s="726" t="s">
        <v>16</v>
      </c>
      <c r="F15" s="726">
        <v>144</v>
      </c>
      <c r="G15" s="561"/>
      <c r="H15" s="561"/>
      <c r="I15" s="560"/>
      <c r="J15" s="561"/>
      <c r="K15" s="562"/>
      <c r="L15" s="560"/>
      <c r="M15" s="560"/>
      <c r="N15" s="560"/>
      <c r="O15" s="560"/>
      <c r="P15" s="560"/>
      <c r="Q15" s="560"/>
    </row>
    <row r="16" spans="1:17" s="110" customFormat="1" x14ac:dyDescent="0.25">
      <c r="A16" s="736">
        <v>4</v>
      </c>
      <c r="B16" s="107"/>
      <c r="C16" s="877"/>
      <c r="D16" s="887" t="s">
        <v>963</v>
      </c>
      <c r="E16" s="726" t="s">
        <v>16</v>
      </c>
      <c r="F16" s="394">
        <v>473</v>
      </c>
      <c r="G16" s="561"/>
      <c r="H16" s="561"/>
      <c r="I16" s="560"/>
      <c r="J16" s="561"/>
      <c r="K16" s="562"/>
      <c r="L16" s="560"/>
      <c r="M16" s="560"/>
      <c r="N16" s="560"/>
      <c r="O16" s="560"/>
      <c r="P16" s="560"/>
      <c r="Q16" s="560"/>
    </row>
    <row r="17" spans="1:17" s="110" customFormat="1" x14ac:dyDescent="0.25">
      <c r="A17" s="736">
        <v>5</v>
      </c>
      <c r="B17" s="107"/>
      <c r="C17" s="888" t="s">
        <v>964</v>
      </c>
      <c r="D17" s="104" t="s">
        <v>86</v>
      </c>
      <c r="E17" s="726" t="s">
        <v>16</v>
      </c>
      <c r="F17" s="726">
        <v>144</v>
      </c>
      <c r="G17" s="561"/>
      <c r="H17" s="561"/>
      <c r="I17" s="560"/>
      <c r="J17" s="561"/>
      <c r="K17" s="562"/>
      <c r="L17" s="560"/>
      <c r="M17" s="560"/>
      <c r="N17" s="560"/>
      <c r="O17" s="560"/>
      <c r="P17" s="560"/>
      <c r="Q17" s="560"/>
    </row>
    <row r="18" spans="1:17" s="110" customFormat="1" x14ac:dyDescent="0.25">
      <c r="A18" s="736">
        <v>6</v>
      </c>
      <c r="B18" s="107"/>
      <c r="C18" s="888"/>
      <c r="D18" s="104" t="s">
        <v>87</v>
      </c>
      <c r="E18" s="726" t="s">
        <v>16</v>
      </c>
      <c r="F18" s="726">
        <v>473</v>
      </c>
      <c r="G18" s="561"/>
      <c r="H18" s="561"/>
      <c r="I18" s="560"/>
      <c r="J18" s="561"/>
      <c r="K18" s="562"/>
      <c r="L18" s="560"/>
      <c r="M18" s="560"/>
      <c r="N18" s="560"/>
      <c r="O18" s="560"/>
      <c r="P18" s="560"/>
      <c r="Q18" s="560"/>
    </row>
    <row r="19" spans="1:17" x14ac:dyDescent="0.25">
      <c r="A19" s="736">
        <v>7</v>
      </c>
      <c r="B19" s="107"/>
      <c r="C19" s="877" t="s">
        <v>74</v>
      </c>
      <c r="D19" s="750" t="s">
        <v>75</v>
      </c>
      <c r="E19" s="726" t="s">
        <v>202</v>
      </c>
      <c r="F19" s="726">
        <v>140</v>
      </c>
      <c r="G19" s="561"/>
      <c r="H19" s="561"/>
      <c r="I19" s="560"/>
      <c r="J19" s="560"/>
      <c r="K19" s="562"/>
      <c r="L19" s="560"/>
      <c r="M19" s="560"/>
      <c r="N19" s="560"/>
      <c r="O19" s="560"/>
      <c r="P19" s="560"/>
      <c r="Q19" s="560"/>
    </row>
    <row r="20" spans="1:17" x14ac:dyDescent="0.25">
      <c r="A20" s="736">
        <v>8</v>
      </c>
      <c r="B20" s="107"/>
      <c r="C20" s="877"/>
      <c r="D20" s="750" t="s">
        <v>76</v>
      </c>
      <c r="E20" s="726" t="s">
        <v>202</v>
      </c>
      <c r="F20" s="726">
        <v>470</v>
      </c>
      <c r="G20" s="561"/>
      <c r="H20" s="561"/>
      <c r="I20" s="560"/>
      <c r="J20" s="560"/>
      <c r="K20" s="562"/>
      <c r="L20" s="560"/>
      <c r="M20" s="560"/>
      <c r="N20" s="560"/>
      <c r="O20" s="560"/>
      <c r="P20" s="560"/>
      <c r="Q20" s="560"/>
    </row>
    <row r="21" spans="1:17" x14ac:dyDescent="0.25">
      <c r="A21" s="736">
        <v>9</v>
      </c>
      <c r="B21" s="107"/>
      <c r="C21" s="752" t="s">
        <v>77</v>
      </c>
      <c r="D21" s="750" t="s">
        <v>78</v>
      </c>
      <c r="E21" s="726" t="s">
        <v>202</v>
      </c>
      <c r="F21" s="726">
        <v>690</v>
      </c>
      <c r="G21" s="561"/>
      <c r="H21" s="561"/>
      <c r="I21" s="560"/>
      <c r="J21" s="560"/>
      <c r="K21" s="562"/>
      <c r="L21" s="560"/>
      <c r="M21" s="560"/>
      <c r="N21" s="560"/>
      <c r="O21" s="560"/>
      <c r="P21" s="560"/>
      <c r="Q21" s="560"/>
    </row>
    <row r="22" spans="1:17" x14ac:dyDescent="0.25">
      <c r="A22" s="736">
        <v>10</v>
      </c>
      <c r="B22" s="107"/>
      <c r="C22" s="752" t="s">
        <v>79</v>
      </c>
      <c r="D22" s="750" t="s">
        <v>78</v>
      </c>
      <c r="E22" s="726" t="s">
        <v>16</v>
      </c>
      <c r="F22" s="726">
        <v>105</v>
      </c>
      <c r="G22" s="561"/>
      <c r="H22" s="561"/>
      <c r="I22" s="560"/>
      <c r="J22" s="560"/>
      <c r="K22" s="562"/>
      <c r="L22" s="560"/>
      <c r="M22" s="560"/>
      <c r="N22" s="560"/>
      <c r="O22" s="560"/>
      <c r="P22" s="560"/>
      <c r="Q22" s="560"/>
    </row>
    <row r="23" spans="1:17" s="110" customFormat="1" x14ac:dyDescent="0.25">
      <c r="A23" s="736">
        <v>11</v>
      </c>
      <c r="B23" s="107"/>
      <c r="C23" s="752" t="s">
        <v>88</v>
      </c>
      <c r="D23" s="750" t="s">
        <v>89</v>
      </c>
      <c r="E23" s="726" t="s">
        <v>202</v>
      </c>
      <c r="F23" s="726">
        <v>25</v>
      </c>
      <c r="G23" s="561"/>
      <c r="H23" s="561"/>
      <c r="I23" s="560"/>
      <c r="J23" s="561"/>
      <c r="K23" s="562"/>
      <c r="L23" s="560"/>
      <c r="M23" s="560"/>
      <c r="N23" s="560"/>
      <c r="O23" s="560"/>
      <c r="P23" s="560"/>
      <c r="Q23" s="560"/>
    </row>
    <row r="24" spans="1:17" s="110" customFormat="1" ht="22.5" x14ac:dyDescent="0.25">
      <c r="A24" s="736">
        <v>12</v>
      </c>
      <c r="B24" s="107"/>
      <c r="C24" s="752" t="s">
        <v>609</v>
      </c>
      <c r="D24" s="750" t="s">
        <v>80</v>
      </c>
      <c r="E24" s="726" t="s">
        <v>202</v>
      </c>
      <c r="F24" s="726">
        <v>25</v>
      </c>
      <c r="G24" s="561"/>
      <c r="H24" s="561"/>
      <c r="I24" s="560"/>
      <c r="J24" s="561"/>
      <c r="K24" s="562"/>
      <c r="L24" s="560"/>
      <c r="M24" s="560"/>
      <c r="N24" s="560"/>
      <c r="O24" s="560"/>
      <c r="P24" s="560"/>
      <c r="Q24" s="560"/>
    </row>
    <row r="25" spans="1:17" s="110" customFormat="1" ht="22.5" x14ac:dyDescent="0.25">
      <c r="A25" s="736">
        <v>13</v>
      </c>
      <c r="B25" s="103"/>
      <c r="C25" s="108" t="s">
        <v>81</v>
      </c>
      <c r="D25" s="104"/>
      <c r="E25" s="726" t="s">
        <v>203</v>
      </c>
      <c r="F25" s="109">
        <v>1</v>
      </c>
      <c r="G25" s="560"/>
      <c r="H25" s="561"/>
      <c r="I25" s="560"/>
      <c r="J25" s="560"/>
      <c r="K25" s="562"/>
      <c r="L25" s="560"/>
      <c r="M25" s="560"/>
      <c r="N25" s="560"/>
      <c r="O25" s="560"/>
      <c r="P25" s="560"/>
      <c r="Q25" s="560"/>
    </row>
    <row r="26" spans="1:17" x14ac:dyDescent="0.25">
      <c r="A26" s="407"/>
      <c r="B26" s="115"/>
      <c r="C26" s="363"/>
      <c r="D26" s="364"/>
      <c r="E26" s="114"/>
      <c r="F26" s="114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1:17" ht="22.5" x14ac:dyDescent="0.25">
      <c r="A27" s="405"/>
      <c r="B27" s="117"/>
      <c r="C27" s="217" t="s">
        <v>179</v>
      </c>
      <c r="D27" s="17"/>
      <c r="E27" s="162"/>
      <c r="F27" s="162"/>
      <c r="G27" s="17"/>
      <c r="H27" s="17"/>
      <c r="I27" s="17"/>
      <c r="J27" s="17"/>
      <c r="K27" s="17"/>
      <c r="L27" s="17"/>
      <c r="M27" s="20">
        <f>SUM(M12:M26)</f>
        <v>0</v>
      </c>
      <c r="N27" s="20">
        <f>SUM(N12:N26)</f>
        <v>0</v>
      </c>
      <c r="O27" s="20">
        <f>SUM(O12:O26)</f>
        <v>0</v>
      </c>
      <c r="P27" s="20">
        <f>SUM(P12:P26)</f>
        <v>0</v>
      </c>
      <c r="Q27" s="20">
        <f>SUM(Q12:Q26)</f>
        <v>0</v>
      </c>
    </row>
    <row r="28" spans="1:17" x14ac:dyDescent="0.25">
      <c r="A28" s="406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17" x14ac:dyDescent="0.25">
      <c r="A29" s="406"/>
      <c r="B29" s="140" t="str">
        <f>sas</f>
        <v>Sastādīja:</v>
      </c>
      <c r="C29" s="140"/>
      <c r="D29" s="94"/>
      <c r="E29" s="94"/>
      <c r="F29" s="94"/>
      <c r="G29" s="137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1:17" x14ac:dyDescent="0.25">
      <c r="A30" s="406"/>
      <c r="B30" s="140"/>
      <c r="C30" s="358" t="s">
        <v>145</v>
      </c>
      <c r="D30" s="140"/>
      <c r="E30" s="140"/>
      <c r="F30" s="94"/>
      <c r="G30" s="138"/>
      <c r="H30" s="110"/>
      <c r="I30" s="110"/>
      <c r="J30" s="110"/>
      <c r="K30" s="110"/>
      <c r="L30" s="110"/>
      <c r="M30" s="110"/>
      <c r="N30" s="110"/>
      <c r="O30" s="110"/>
      <c r="P30" s="110"/>
      <c r="Q30" s="110"/>
    </row>
    <row r="31" spans="1:17" x14ac:dyDescent="0.25">
      <c r="A31" s="406"/>
      <c r="B31" s="161"/>
      <c r="C31" s="161"/>
      <c r="D31" s="140"/>
      <c r="E31" s="140"/>
      <c r="F31" s="94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7" x14ac:dyDescent="0.25">
      <c r="B32" s="140" t="str">
        <f>dat</f>
        <v>Tāme sastādīta 201__. gada __.____________</v>
      </c>
      <c r="C32" s="140"/>
      <c r="D32" s="140"/>
      <c r="E32" s="140"/>
      <c r="F32" s="94"/>
      <c r="G32" s="137"/>
    </row>
    <row r="33" spans="2:16" x14ac:dyDescent="0.25">
      <c r="B33" s="161"/>
      <c r="C33" s="161"/>
      <c r="D33" s="140"/>
      <c r="E33" s="140"/>
      <c r="F33" s="94"/>
      <c r="G33" s="24"/>
      <c r="N33" s="362"/>
      <c r="P33" s="362"/>
    </row>
    <row r="34" spans="2:16" x14ac:dyDescent="0.25">
      <c r="B34" s="140" t="s">
        <v>147</v>
      </c>
      <c r="C34" s="140"/>
      <c r="D34" s="100"/>
      <c r="E34" s="100"/>
      <c r="F34" s="45"/>
    </row>
    <row r="35" spans="2:16" x14ac:dyDescent="0.25">
      <c r="B35" s="140"/>
      <c r="C35" s="358" t="s">
        <v>145</v>
      </c>
      <c r="D35" s="100"/>
      <c r="E35" s="100"/>
      <c r="F35" s="45"/>
    </row>
    <row r="36" spans="2:16" x14ac:dyDescent="0.25">
      <c r="B36" s="161"/>
      <c r="C36" s="140" t="s">
        <v>148</v>
      </c>
      <c r="D36" s="100"/>
      <c r="E36" s="100"/>
      <c r="F36" s="45"/>
    </row>
  </sheetData>
  <mergeCells count="11">
    <mergeCell ref="C15:C16"/>
    <mergeCell ref="C17:C18"/>
    <mergeCell ref="C19:C20"/>
    <mergeCell ref="C11:D11"/>
    <mergeCell ref="M9:Q9"/>
    <mergeCell ref="G9:L9"/>
    <mergeCell ref="A9:A10"/>
    <mergeCell ref="B9:B10"/>
    <mergeCell ref="E9:E10"/>
    <mergeCell ref="F9:F10"/>
    <mergeCell ref="C9:D10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rowBreaks count="1" manualBreakCount="1">
    <brk id="25" max="1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P67"/>
  <sheetViews>
    <sheetView view="pageBreakPreview" topLeftCell="A13" zoomScale="85" zoomScaleSheetLayoutView="85" workbookViewId="0">
      <selection activeCell="C30" sqref="C30"/>
    </sheetView>
  </sheetViews>
  <sheetFormatPr defaultColWidth="8.5703125" defaultRowHeight="11.25" x14ac:dyDescent="0.25"/>
  <cols>
    <col min="1" max="1" width="5.5703125" style="138" customWidth="1"/>
    <col min="2" max="2" width="9.140625" style="138" customWidth="1"/>
    <col min="3" max="3" width="56.7109375" style="138" customWidth="1"/>
    <col min="4" max="5" width="5.5703125" style="138" customWidth="1"/>
    <col min="6" max="8" width="5.85546875" style="138" customWidth="1"/>
    <col min="9" max="9" width="6.85546875" style="138" customWidth="1"/>
    <col min="10" max="10" width="5.85546875" style="138" customWidth="1"/>
    <col min="11" max="11" width="6.85546875" style="138" customWidth="1"/>
    <col min="12" max="12" width="7.5703125" style="138" customWidth="1"/>
    <col min="13" max="13" width="8.140625" style="138" customWidth="1"/>
    <col min="14" max="14" width="8.85546875" style="138" customWidth="1"/>
    <col min="15" max="15" width="6.85546875" style="138" customWidth="1"/>
    <col min="16" max="16" width="8.85546875" style="138" customWidth="1"/>
    <col min="17" max="16384" width="8.5703125" style="138"/>
  </cols>
  <sheetData>
    <row r="1" spans="1:16" s="88" customFormat="1" ht="12" thickBot="1" x14ac:dyDescent="0.3">
      <c r="A1" s="878" t="s">
        <v>6</v>
      </c>
      <c r="B1" s="878"/>
      <c r="C1" s="878"/>
      <c r="D1" s="878"/>
      <c r="E1" s="878"/>
      <c r="F1" s="878"/>
      <c r="G1" s="879"/>
      <c r="H1" s="602">
        <f>KPDV!B34</f>
        <v>22</v>
      </c>
      <c r="I1" s="603"/>
      <c r="J1" s="603"/>
      <c r="K1" s="603"/>
      <c r="L1" s="603"/>
      <c r="M1" s="603"/>
    </row>
    <row r="2" spans="1:16" s="88" customFormat="1" x14ac:dyDescent="0.25">
      <c r="A2" s="753"/>
      <c r="B2" s="753"/>
      <c r="C2" s="604" t="s">
        <v>610</v>
      </c>
      <c r="D2" s="753"/>
      <c r="E2" s="753"/>
      <c r="F2" s="753"/>
      <c r="G2" s="678"/>
      <c r="H2" s="605"/>
      <c r="I2" s="603"/>
      <c r="J2" s="603"/>
      <c r="K2" s="603"/>
      <c r="L2" s="603"/>
      <c r="M2" s="603"/>
    </row>
    <row r="3" spans="1:16" s="88" customFormat="1" x14ac:dyDescent="0.25">
      <c r="A3" s="88" t="str">
        <f>'U1'!A3</f>
        <v>Būves nosaukums:  Dzīvojamās māja</v>
      </c>
    </row>
    <row r="4" spans="1:16" s="88" customFormat="1" x14ac:dyDescent="0.25">
      <c r="A4" s="88" t="str">
        <f>'U1'!A4</f>
        <v>Objekta nosaukums: Dzīvojamās ēkas fasādes vienkāršota atjaunošana</v>
      </c>
    </row>
    <row r="5" spans="1:16" s="88" customFormat="1" x14ac:dyDescent="0.25">
      <c r="A5" s="88" t="str">
        <f>'U1'!A5</f>
        <v>Objekta adrese: Aisteres iela 7, Liepājā</v>
      </c>
    </row>
    <row r="6" spans="1:16" s="88" customFormat="1" ht="12" thickBot="1" x14ac:dyDescent="0.3">
      <c r="A6" s="88" t="str">
        <f>'U1'!A6</f>
        <v>Pasūtījuma Nr.WS-41-17</v>
      </c>
    </row>
    <row r="7" spans="1:16" s="88" customFormat="1" ht="12" thickBot="1" x14ac:dyDescent="0.3">
      <c r="C7" s="186" t="s">
        <v>695</v>
      </c>
      <c r="D7" s="162"/>
      <c r="E7" s="171" t="s">
        <v>159</v>
      </c>
      <c r="F7" s="7" t="s">
        <v>143</v>
      </c>
      <c r="O7" s="163" t="s">
        <v>144</v>
      </c>
      <c r="P7" s="606" t="e">
        <f>#REF!</f>
        <v>#REF!</v>
      </c>
    </row>
    <row r="8" spans="1:16" x14ac:dyDescent="0.25"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189" t="str">
        <f>'U1'!P8</f>
        <v>Tāme sastādīta 201__. gada __.____________</v>
      </c>
      <c r="P8" s="604"/>
    </row>
    <row r="9" spans="1:16" s="88" customFormat="1" x14ac:dyDescent="0.25">
      <c r="A9" s="865" t="s">
        <v>7</v>
      </c>
      <c r="B9" s="866" t="s">
        <v>8</v>
      </c>
      <c r="C9" s="868" t="s">
        <v>9</v>
      </c>
      <c r="D9" s="867" t="s">
        <v>51</v>
      </c>
      <c r="E9" s="866" t="s">
        <v>10</v>
      </c>
      <c r="F9" s="829" t="s">
        <v>67</v>
      </c>
      <c r="G9" s="829"/>
      <c r="H9" s="829"/>
      <c r="I9" s="829"/>
      <c r="J9" s="829"/>
      <c r="K9" s="829"/>
      <c r="L9" s="829" t="s">
        <v>11</v>
      </c>
      <c r="M9" s="829"/>
      <c r="N9" s="829"/>
      <c r="O9" s="829"/>
      <c r="P9" s="829"/>
    </row>
    <row r="10" spans="1:16" s="88" customFormat="1" ht="69" x14ac:dyDescent="0.25">
      <c r="A10" s="865"/>
      <c r="B10" s="866"/>
      <c r="C10" s="868"/>
      <c r="D10" s="867"/>
      <c r="E10" s="866"/>
      <c r="F10" s="749" t="s">
        <v>12</v>
      </c>
      <c r="G10" s="749" t="s">
        <v>601</v>
      </c>
      <c r="H10" s="749" t="s">
        <v>602</v>
      </c>
      <c r="I10" s="749" t="s">
        <v>603</v>
      </c>
      <c r="J10" s="749" t="s">
        <v>604</v>
      </c>
      <c r="K10" s="749" t="s">
        <v>605</v>
      </c>
      <c r="L10" s="749" t="s">
        <v>13</v>
      </c>
      <c r="M10" s="749" t="s">
        <v>602</v>
      </c>
      <c r="N10" s="749" t="s">
        <v>603</v>
      </c>
      <c r="O10" s="749" t="s">
        <v>604</v>
      </c>
      <c r="P10" s="749" t="s">
        <v>606</v>
      </c>
    </row>
    <row r="11" spans="1:16" s="88" customFormat="1" x14ac:dyDescent="0.25">
      <c r="A11" s="404">
        <v>1</v>
      </c>
      <c r="B11" s="233">
        <f>A11+1</f>
        <v>2</v>
      </c>
      <c r="C11" s="233">
        <f>B11+1</f>
        <v>3</v>
      </c>
      <c r="D11" s="233">
        <f>C11+1</f>
        <v>4</v>
      </c>
      <c r="E11" s="233">
        <f t="shared" ref="E11:P11" si="0">D11+1</f>
        <v>5</v>
      </c>
      <c r="F11" s="234">
        <f t="shared" si="0"/>
        <v>6</v>
      </c>
      <c r="G11" s="234">
        <f t="shared" si="0"/>
        <v>7</v>
      </c>
      <c r="H11" s="234">
        <f t="shared" si="0"/>
        <v>8</v>
      </c>
      <c r="I11" s="234">
        <f t="shared" si="0"/>
        <v>9</v>
      </c>
      <c r="J11" s="234">
        <f t="shared" si="0"/>
        <v>10</v>
      </c>
      <c r="K11" s="234">
        <f t="shared" si="0"/>
        <v>11</v>
      </c>
      <c r="L11" s="234">
        <f t="shared" si="0"/>
        <v>12</v>
      </c>
      <c r="M11" s="234">
        <f t="shared" si="0"/>
        <v>13</v>
      </c>
      <c r="N11" s="234">
        <f t="shared" si="0"/>
        <v>14</v>
      </c>
      <c r="O11" s="234">
        <f t="shared" si="0"/>
        <v>15</v>
      </c>
      <c r="P11" s="234">
        <f t="shared" si="0"/>
        <v>16</v>
      </c>
    </row>
    <row r="12" spans="1:16" s="88" customFormat="1" ht="22.5" x14ac:dyDescent="0.25">
      <c r="A12" s="703">
        <v>1</v>
      </c>
      <c r="B12" s="703" t="s">
        <v>611</v>
      </c>
      <c r="C12" s="709" t="s">
        <v>736</v>
      </c>
      <c r="D12" s="133" t="s">
        <v>17</v>
      </c>
      <c r="E12" s="803">
        <v>16.25</v>
      </c>
      <c r="F12" s="112"/>
      <c r="G12" s="112"/>
      <c r="H12" s="112"/>
      <c r="I12" s="112"/>
      <c r="J12" s="105"/>
      <c r="K12" s="102"/>
      <c r="L12" s="102"/>
      <c r="M12" s="102"/>
      <c r="N12" s="102"/>
      <c r="O12" s="102"/>
      <c r="P12" s="102"/>
    </row>
    <row r="13" spans="1:16" s="88" customFormat="1" x14ac:dyDescent="0.25">
      <c r="A13" s="703"/>
      <c r="B13" s="703"/>
      <c r="C13" s="704" t="s">
        <v>612</v>
      </c>
      <c r="D13" s="703" t="s">
        <v>613</v>
      </c>
      <c r="E13" s="803">
        <f>E14/7</f>
        <v>0.12767857142857145</v>
      </c>
      <c r="F13" s="112"/>
      <c r="G13" s="112"/>
      <c r="H13" s="112"/>
      <c r="I13" s="112"/>
      <c r="J13" s="105"/>
      <c r="K13" s="102"/>
      <c r="L13" s="102"/>
      <c r="M13" s="102"/>
      <c r="N13" s="102"/>
      <c r="O13" s="102"/>
      <c r="P13" s="102"/>
    </row>
    <row r="14" spans="1:16" s="88" customFormat="1" ht="22.5" x14ac:dyDescent="0.25">
      <c r="A14" s="703">
        <v>2</v>
      </c>
      <c r="B14" s="705" t="s">
        <v>614</v>
      </c>
      <c r="C14" s="706" t="s">
        <v>30</v>
      </c>
      <c r="D14" s="703" t="s">
        <v>303</v>
      </c>
      <c r="E14" s="707">
        <f>E12*0.11*0.5</f>
        <v>0.89375000000000004</v>
      </c>
      <c r="F14" s="112"/>
      <c r="G14" s="112"/>
      <c r="H14" s="112"/>
      <c r="I14" s="112"/>
      <c r="J14" s="105"/>
      <c r="K14" s="102"/>
      <c r="L14" s="102"/>
      <c r="M14" s="102"/>
      <c r="N14" s="102"/>
      <c r="O14" s="102"/>
      <c r="P14" s="102"/>
    </row>
    <row r="15" spans="1:16" s="88" customFormat="1" x14ac:dyDescent="0.25">
      <c r="A15" s="703"/>
      <c r="B15" s="703"/>
      <c r="C15" s="704" t="s">
        <v>615</v>
      </c>
      <c r="D15" s="703" t="s">
        <v>616</v>
      </c>
      <c r="E15" s="707">
        <v>60</v>
      </c>
      <c r="F15" s="112"/>
      <c r="G15" s="112"/>
      <c r="H15" s="112"/>
      <c r="I15" s="112"/>
      <c r="J15" s="105"/>
      <c r="K15" s="102"/>
      <c r="L15" s="102"/>
      <c r="M15" s="102"/>
      <c r="N15" s="102"/>
      <c r="O15" s="102"/>
      <c r="P15" s="102"/>
    </row>
    <row r="16" spans="1:16" s="88" customFormat="1" x14ac:dyDescent="0.25">
      <c r="A16" s="703"/>
      <c r="B16" s="703"/>
      <c r="C16" s="704" t="s">
        <v>617</v>
      </c>
      <c r="D16" s="703" t="s">
        <v>618</v>
      </c>
      <c r="E16" s="707">
        <f>E17</f>
        <v>1</v>
      </c>
      <c r="F16" s="112"/>
      <c r="G16" s="112"/>
      <c r="H16" s="112"/>
      <c r="I16" s="112"/>
      <c r="J16" s="105"/>
      <c r="K16" s="102"/>
      <c r="L16" s="102"/>
      <c r="M16" s="102"/>
      <c r="N16" s="102"/>
      <c r="O16" s="102"/>
      <c r="P16" s="102"/>
    </row>
    <row r="17" spans="1:16" s="88" customFormat="1" x14ac:dyDescent="0.25">
      <c r="A17" s="703"/>
      <c r="B17" s="703"/>
      <c r="C17" s="704" t="s">
        <v>619</v>
      </c>
      <c r="D17" s="703" t="s">
        <v>620</v>
      </c>
      <c r="E17" s="708">
        <v>1</v>
      </c>
      <c r="F17" s="112"/>
      <c r="G17" s="112"/>
      <c r="H17" s="112"/>
      <c r="I17" s="112"/>
      <c r="J17" s="105"/>
      <c r="K17" s="102"/>
      <c r="L17" s="102"/>
      <c r="M17" s="102"/>
      <c r="N17" s="102"/>
      <c r="O17" s="102"/>
      <c r="P17" s="102"/>
    </row>
    <row r="18" spans="1:16" s="88" customFormat="1" ht="33.75" x14ac:dyDescent="0.25">
      <c r="A18" s="703">
        <v>3</v>
      </c>
      <c r="B18" s="705" t="s">
        <v>621</v>
      </c>
      <c r="C18" s="709" t="s">
        <v>737</v>
      </c>
      <c r="D18" s="703" t="s">
        <v>17</v>
      </c>
      <c r="E18" s="707">
        <f>E12</f>
        <v>16.25</v>
      </c>
      <c r="F18" s="112"/>
      <c r="G18" s="112"/>
      <c r="H18" s="112"/>
      <c r="I18" s="112"/>
      <c r="J18" s="105"/>
      <c r="K18" s="102"/>
      <c r="L18" s="102"/>
      <c r="M18" s="102"/>
      <c r="N18" s="102"/>
      <c r="O18" s="102"/>
      <c r="P18" s="102"/>
    </row>
    <row r="19" spans="1:16" s="88" customFormat="1" x14ac:dyDescent="0.25">
      <c r="A19" s="703"/>
      <c r="B19" s="710"/>
      <c r="C19" s="704" t="s">
        <v>912</v>
      </c>
      <c r="D19" s="703" t="s">
        <v>17</v>
      </c>
      <c r="E19" s="707">
        <f>E18*2*1.15</f>
        <v>37.375</v>
      </c>
      <c r="F19" s="112"/>
      <c r="G19" s="112"/>
      <c r="H19" s="112"/>
      <c r="I19" s="112"/>
      <c r="J19" s="105"/>
      <c r="K19" s="102"/>
      <c r="L19" s="102"/>
      <c r="M19" s="102"/>
      <c r="N19" s="102"/>
      <c r="O19" s="102"/>
      <c r="P19" s="102"/>
    </row>
    <row r="20" spans="1:16" s="88" customFormat="1" x14ac:dyDescent="0.25">
      <c r="A20" s="703"/>
      <c r="B20" s="710"/>
      <c r="C20" s="704" t="s">
        <v>913</v>
      </c>
      <c r="D20" s="703" t="s">
        <v>622</v>
      </c>
      <c r="E20" s="707">
        <f>E18*0.5</f>
        <v>8.125</v>
      </c>
      <c r="F20" s="112"/>
      <c r="G20" s="112"/>
      <c r="H20" s="112"/>
      <c r="I20" s="112"/>
      <c r="J20" s="105"/>
      <c r="K20" s="102"/>
      <c r="L20" s="102"/>
      <c r="M20" s="102"/>
      <c r="N20" s="102"/>
      <c r="O20" s="102"/>
      <c r="P20" s="102"/>
    </row>
    <row r="21" spans="1:16" s="88" customFormat="1" x14ac:dyDescent="0.25">
      <c r="A21" s="703"/>
      <c r="B21" s="710"/>
      <c r="C21" s="704" t="s">
        <v>914</v>
      </c>
      <c r="D21" s="703" t="s">
        <v>620</v>
      </c>
      <c r="E21" s="707">
        <v>70</v>
      </c>
      <c r="F21" s="112"/>
      <c r="G21" s="112"/>
      <c r="H21" s="112"/>
      <c r="I21" s="112"/>
      <c r="J21" s="105"/>
      <c r="K21" s="102"/>
      <c r="L21" s="102"/>
      <c r="M21" s="102"/>
      <c r="N21" s="102"/>
      <c r="O21" s="102"/>
      <c r="P21" s="102"/>
    </row>
    <row r="22" spans="1:16" s="88" customFormat="1" x14ac:dyDescent="0.25">
      <c r="A22" s="703"/>
      <c r="B22" s="710"/>
      <c r="C22" s="704" t="s">
        <v>624</v>
      </c>
      <c r="D22" s="703" t="s">
        <v>16</v>
      </c>
      <c r="E22" s="707">
        <v>70</v>
      </c>
      <c r="F22" s="112"/>
      <c r="G22" s="112"/>
      <c r="H22" s="112"/>
      <c r="I22" s="112"/>
      <c r="J22" s="105"/>
      <c r="K22" s="102"/>
      <c r="L22" s="102"/>
      <c r="M22" s="102"/>
      <c r="N22" s="102"/>
      <c r="O22" s="102"/>
      <c r="P22" s="102"/>
    </row>
    <row r="23" spans="1:16" s="88" customFormat="1" x14ac:dyDescent="0.25">
      <c r="A23" s="703"/>
      <c r="B23" s="710"/>
      <c r="C23" s="704" t="s">
        <v>625</v>
      </c>
      <c r="D23" s="703" t="s">
        <v>16</v>
      </c>
      <c r="E23" s="707">
        <f>E18*1.26</f>
        <v>20.475000000000001</v>
      </c>
      <c r="F23" s="112"/>
      <c r="G23" s="112"/>
      <c r="H23" s="112"/>
      <c r="I23" s="112"/>
      <c r="J23" s="105"/>
      <c r="K23" s="102"/>
      <c r="L23" s="102"/>
      <c r="M23" s="102"/>
      <c r="N23" s="102"/>
      <c r="O23" s="102"/>
      <c r="P23" s="102"/>
    </row>
    <row r="24" spans="1:16" s="88" customFormat="1" x14ac:dyDescent="0.25">
      <c r="A24" s="703"/>
      <c r="B24" s="710"/>
      <c r="C24" s="704" t="s">
        <v>626</v>
      </c>
      <c r="D24" s="703" t="s">
        <v>620</v>
      </c>
      <c r="E24" s="707">
        <f>E18*1.58</f>
        <v>25.675000000000001</v>
      </c>
      <c r="F24" s="112"/>
      <c r="G24" s="112"/>
      <c r="H24" s="112"/>
      <c r="I24" s="112"/>
      <c r="J24" s="105"/>
      <c r="K24" s="102"/>
      <c r="L24" s="102"/>
      <c r="M24" s="102"/>
      <c r="N24" s="102"/>
      <c r="O24" s="102"/>
      <c r="P24" s="102"/>
    </row>
    <row r="25" spans="1:16" s="88" customFormat="1" x14ac:dyDescent="0.25">
      <c r="A25" s="703"/>
      <c r="B25" s="710"/>
      <c r="C25" s="704" t="s">
        <v>627</v>
      </c>
      <c r="D25" s="703" t="s">
        <v>628</v>
      </c>
      <c r="E25" s="707">
        <f>E18*0.178*2</f>
        <v>5.7850000000000001</v>
      </c>
      <c r="F25" s="112"/>
      <c r="G25" s="112"/>
      <c r="H25" s="112"/>
      <c r="I25" s="112"/>
      <c r="J25" s="105"/>
      <c r="K25" s="102"/>
      <c r="L25" s="102"/>
      <c r="M25" s="102"/>
      <c r="N25" s="102"/>
      <c r="O25" s="102"/>
      <c r="P25" s="102"/>
    </row>
    <row r="26" spans="1:16" s="88" customFormat="1" x14ac:dyDescent="0.25">
      <c r="A26" s="703"/>
      <c r="B26" s="710"/>
      <c r="C26" s="704" t="s">
        <v>629</v>
      </c>
      <c r="D26" s="703" t="s">
        <v>628</v>
      </c>
      <c r="E26" s="707">
        <f>E18*0.08*2</f>
        <v>2.6</v>
      </c>
      <c r="F26" s="112"/>
      <c r="G26" s="112"/>
      <c r="H26" s="112"/>
      <c r="I26" s="112"/>
      <c r="J26" s="105"/>
      <c r="K26" s="102"/>
      <c r="L26" s="102"/>
      <c r="M26" s="102"/>
      <c r="N26" s="102"/>
      <c r="O26" s="102"/>
      <c r="P26" s="102"/>
    </row>
    <row r="27" spans="1:16" s="88" customFormat="1" x14ac:dyDescent="0.25">
      <c r="A27" s="703">
        <v>4</v>
      </c>
      <c r="B27" s="703" t="s">
        <v>630</v>
      </c>
      <c r="C27" s="706" t="s">
        <v>631</v>
      </c>
      <c r="D27" s="703" t="s">
        <v>17</v>
      </c>
      <c r="E27" s="707">
        <f>E18</f>
        <v>16.25</v>
      </c>
      <c r="F27" s="112"/>
      <c r="G27" s="112"/>
      <c r="H27" s="112"/>
      <c r="I27" s="112"/>
      <c r="J27" s="105"/>
      <c r="K27" s="102"/>
      <c r="L27" s="102"/>
      <c r="M27" s="102"/>
      <c r="N27" s="102"/>
      <c r="O27" s="102"/>
      <c r="P27" s="102"/>
    </row>
    <row r="28" spans="1:16" s="88" customFormat="1" x14ac:dyDescent="0.25">
      <c r="A28" s="703"/>
      <c r="B28" s="710"/>
      <c r="C28" s="704" t="s">
        <v>632</v>
      </c>
      <c r="D28" s="703" t="s">
        <v>23</v>
      </c>
      <c r="E28" s="707">
        <f>E27*0.1</f>
        <v>1.625</v>
      </c>
      <c r="F28" s="112"/>
      <c r="G28" s="112"/>
      <c r="H28" s="112"/>
      <c r="I28" s="112"/>
      <c r="J28" s="105"/>
      <c r="K28" s="102"/>
      <c r="L28" s="102"/>
      <c r="M28" s="102"/>
      <c r="N28" s="102"/>
      <c r="O28" s="102"/>
      <c r="P28" s="102"/>
    </row>
    <row r="29" spans="1:16" s="88" customFormat="1" x14ac:dyDescent="0.25">
      <c r="A29" s="703"/>
      <c r="B29" s="710"/>
      <c r="C29" s="704" t="s">
        <v>633</v>
      </c>
      <c r="D29" s="703" t="s">
        <v>23</v>
      </c>
      <c r="E29" s="707">
        <f>E27*0.4</f>
        <v>6.5</v>
      </c>
      <c r="F29" s="112"/>
      <c r="G29" s="112"/>
      <c r="H29" s="112"/>
      <c r="I29" s="112"/>
      <c r="J29" s="105"/>
      <c r="K29" s="102"/>
      <c r="L29" s="102"/>
      <c r="M29" s="102"/>
      <c r="N29" s="102"/>
      <c r="O29" s="102"/>
      <c r="P29" s="102"/>
    </row>
    <row r="30" spans="1:16" s="88" customFormat="1" x14ac:dyDescent="0.25">
      <c r="A30" s="703"/>
      <c r="B30" s="710"/>
      <c r="C30" s="704" t="s">
        <v>634</v>
      </c>
      <c r="D30" s="703" t="s">
        <v>52</v>
      </c>
      <c r="E30" s="707">
        <f>E27*0.3</f>
        <v>4.875</v>
      </c>
      <c r="F30" s="112"/>
      <c r="G30" s="112"/>
      <c r="H30" s="112"/>
      <c r="I30" s="112"/>
      <c r="J30" s="105"/>
      <c r="K30" s="102"/>
      <c r="L30" s="102"/>
      <c r="M30" s="102"/>
      <c r="N30" s="102"/>
      <c r="O30" s="102"/>
      <c r="P30" s="102"/>
    </row>
    <row r="31" spans="1:16" ht="22.5" x14ac:dyDescent="0.25">
      <c r="A31" s="703">
        <v>5</v>
      </c>
      <c r="B31" s="703" t="s">
        <v>611</v>
      </c>
      <c r="C31" s="709" t="s">
        <v>635</v>
      </c>
      <c r="D31" s="133" t="s">
        <v>17</v>
      </c>
      <c r="E31" s="803">
        <v>17.5</v>
      </c>
      <c r="F31" s="645"/>
      <c r="G31" s="645"/>
      <c r="H31" s="645"/>
      <c r="I31" s="645"/>
      <c r="J31" s="105"/>
      <c r="K31" s="102"/>
      <c r="L31" s="102"/>
      <c r="M31" s="102"/>
      <c r="N31" s="102"/>
      <c r="O31" s="102"/>
      <c r="P31" s="102"/>
    </row>
    <row r="32" spans="1:16" x14ac:dyDescent="0.25">
      <c r="A32" s="703"/>
      <c r="B32" s="703"/>
      <c r="C32" s="704" t="s">
        <v>612</v>
      </c>
      <c r="D32" s="703" t="s">
        <v>613</v>
      </c>
      <c r="E32" s="803">
        <f>E33/7</f>
        <v>0.13750000000000001</v>
      </c>
      <c r="F32" s="645"/>
      <c r="G32" s="645"/>
      <c r="H32" s="645"/>
      <c r="I32" s="645"/>
      <c r="J32" s="105"/>
      <c r="K32" s="102"/>
      <c r="L32" s="102"/>
      <c r="M32" s="102"/>
      <c r="N32" s="102"/>
      <c r="O32" s="102"/>
      <c r="P32" s="102"/>
    </row>
    <row r="33" spans="1:16" ht="22.5" x14ac:dyDescent="0.25">
      <c r="A33" s="703">
        <v>6</v>
      </c>
      <c r="B33" s="705" t="s">
        <v>614</v>
      </c>
      <c r="C33" s="706" t="s">
        <v>30</v>
      </c>
      <c r="D33" s="703" t="s">
        <v>303</v>
      </c>
      <c r="E33" s="707">
        <f>E31*0.11*0.5</f>
        <v>0.96250000000000002</v>
      </c>
      <c r="F33" s="645"/>
      <c r="G33" s="645"/>
      <c r="H33" s="645"/>
      <c r="I33" s="645"/>
      <c r="J33" s="105"/>
      <c r="K33" s="102"/>
      <c r="L33" s="102"/>
      <c r="M33" s="102"/>
      <c r="N33" s="102"/>
      <c r="O33" s="102"/>
      <c r="P33" s="102"/>
    </row>
    <row r="34" spans="1:16" x14ac:dyDescent="0.25">
      <c r="A34" s="703"/>
      <c r="B34" s="703"/>
      <c r="C34" s="704" t="s">
        <v>615</v>
      </c>
      <c r="D34" s="703" t="s">
        <v>616</v>
      </c>
      <c r="E34" s="707">
        <v>60</v>
      </c>
      <c r="F34" s="645"/>
      <c r="G34" s="645"/>
      <c r="H34" s="645"/>
      <c r="I34" s="645"/>
      <c r="J34" s="105"/>
      <c r="K34" s="102"/>
      <c r="L34" s="102"/>
      <c r="M34" s="102"/>
      <c r="N34" s="102"/>
      <c r="O34" s="102"/>
      <c r="P34" s="102"/>
    </row>
    <row r="35" spans="1:16" x14ac:dyDescent="0.25">
      <c r="A35" s="703"/>
      <c r="B35" s="703"/>
      <c r="C35" s="704" t="s">
        <v>617</v>
      </c>
      <c r="D35" s="703" t="s">
        <v>618</v>
      </c>
      <c r="E35" s="707">
        <f>E36</f>
        <v>1</v>
      </c>
      <c r="F35" s="645"/>
      <c r="G35" s="645"/>
      <c r="H35" s="645"/>
      <c r="I35" s="645"/>
      <c r="J35" s="105"/>
      <c r="K35" s="102"/>
      <c r="L35" s="102"/>
      <c r="M35" s="102"/>
      <c r="N35" s="102"/>
      <c r="O35" s="102"/>
      <c r="P35" s="102"/>
    </row>
    <row r="36" spans="1:16" x14ac:dyDescent="0.25">
      <c r="A36" s="703"/>
      <c r="B36" s="703"/>
      <c r="C36" s="704" t="s">
        <v>619</v>
      </c>
      <c r="D36" s="703" t="s">
        <v>620</v>
      </c>
      <c r="E36" s="708">
        <v>1</v>
      </c>
      <c r="F36" s="645"/>
      <c r="G36" s="645"/>
      <c r="H36" s="645"/>
      <c r="I36" s="645"/>
      <c r="J36" s="105"/>
      <c r="K36" s="102"/>
      <c r="L36" s="102"/>
      <c r="M36" s="102"/>
      <c r="N36" s="102"/>
      <c r="O36" s="102"/>
      <c r="P36" s="102"/>
    </row>
    <row r="37" spans="1:16" ht="33.75" x14ac:dyDescent="0.25">
      <c r="A37" s="703">
        <v>7</v>
      </c>
      <c r="B37" s="705" t="s">
        <v>621</v>
      </c>
      <c r="C37" s="709" t="s">
        <v>636</v>
      </c>
      <c r="D37" s="703" t="s">
        <v>17</v>
      </c>
      <c r="E37" s="707">
        <f>E31</f>
        <v>17.5</v>
      </c>
      <c r="F37" s="645"/>
      <c r="G37" s="645"/>
      <c r="H37" s="645"/>
      <c r="I37" s="645"/>
      <c r="J37" s="105"/>
      <c r="K37" s="102"/>
      <c r="L37" s="102"/>
      <c r="M37" s="102"/>
      <c r="N37" s="102"/>
      <c r="O37" s="102"/>
      <c r="P37" s="102"/>
    </row>
    <row r="38" spans="1:16" x14ac:dyDescent="0.25">
      <c r="A38" s="703"/>
      <c r="B38" s="710"/>
      <c r="C38" s="704" t="s">
        <v>912</v>
      </c>
      <c r="D38" s="703" t="s">
        <v>17</v>
      </c>
      <c r="E38" s="707">
        <f>E37*2*1.15</f>
        <v>40.25</v>
      </c>
      <c r="F38" s="645"/>
      <c r="G38" s="645"/>
      <c r="H38" s="645"/>
      <c r="I38" s="645"/>
      <c r="J38" s="105"/>
      <c r="K38" s="102"/>
      <c r="L38" s="102"/>
      <c r="M38" s="102"/>
      <c r="N38" s="102"/>
      <c r="O38" s="102"/>
      <c r="P38" s="102"/>
    </row>
    <row r="39" spans="1:16" x14ac:dyDescent="0.25">
      <c r="A39" s="703"/>
      <c r="B39" s="710"/>
      <c r="C39" s="704" t="s">
        <v>913</v>
      </c>
      <c r="D39" s="703" t="s">
        <v>622</v>
      </c>
      <c r="E39" s="707">
        <f>E37*0.5</f>
        <v>8.75</v>
      </c>
      <c r="F39" s="645"/>
      <c r="G39" s="645"/>
      <c r="H39" s="645"/>
      <c r="I39" s="645"/>
      <c r="J39" s="105"/>
      <c r="K39" s="102"/>
      <c r="L39" s="102"/>
      <c r="M39" s="102"/>
      <c r="N39" s="102"/>
      <c r="O39" s="102"/>
      <c r="P39" s="102"/>
    </row>
    <row r="40" spans="1:16" x14ac:dyDescent="0.25">
      <c r="A40" s="703"/>
      <c r="B40" s="710"/>
      <c r="C40" s="704" t="s">
        <v>623</v>
      </c>
      <c r="D40" s="703" t="s">
        <v>620</v>
      </c>
      <c r="E40" s="707">
        <v>70</v>
      </c>
      <c r="F40" s="645"/>
      <c r="G40" s="645"/>
      <c r="H40" s="645"/>
      <c r="I40" s="645"/>
      <c r="J40" s="105"/>
      <c r="K40" s="102"/>
      <c r="L40" s="102"/>
      <c r="M40" s="102"/>
      <c r="N40" s="102"/>
      <c r="O40" s="102"/>
      <c r="P40" s="102"/>
    </row>
    <row r="41" spans="1:16" x14ac:dyDescent="0.25">
      <c r="A41" s="703"/>
      <c r="B41" s="710"/>
      <c r="C41" s="704" t="s">
        <v>624</v>
      </c>
      <c r="D41" s="703" t="s">
        <v>16</v>
      </c>
      <c r="E41" s="707">
        <v>70</v>
      </c>
      <c r="F41" s="645"/>
      <c r="G41" s="645"/>
      <c r="H41" s="645"/>
      <c r="I41" s="645"/>
      <c r="J41" s="105"/>
      <c r="K41" s="102"/>
      <c r="L41" s="102"/>
      <c r="M41" s="102"/>
      <c r="N41" s="102"/>
      <c r="O41" s="102"/>
      <c r="P41" s="102"/>
    </row>
    <row r="42" spans="1:16" x14ac:dyDescent="0.25">
      <c r="A42" s="703"/>
      <c r="B42" s="710"/>
      <c r="C42" s="704" t="s">
        <v>625</v>
      </c>
      <c r="D42" s="703" t="s">
        <v>16</v>
      </c>
      <c r="E42" s="707">
        <f>E37*1.26</f>
        <v>22.05</v>
      </c>
      <c r="F42" s="645"/>
      <c r="G42" s="645"/>
      <c r="H42" s="645"/>
      <c r="I42" s="645"/>
      <c r="J42" s="105"/>
      <c r="K42" s="102"/>
      <c r="L42" s="102"/>
      <c r="M42" s="102"/>
      <c r="N42" s="102"/>
      <c r="O42" s="102"/>
      <c r="P42" s="102"/>
    </row>
    <row r="43" spans="1:16" x14ac:dyDescent="0.25">
      <c r="A43" s="703"/>
      <c r="B43" s="710"/>
      <c r="C43" s="704" t="s">
        <v>626</v>
      </c>
      <c r="D43" s="703" t="s">
        <v>620</v>
      </c>
      <c r="E43" s="707">
        <f>E37*1.58</f>
        <v>27.650000000000002</v>
      </c>
      <c r="F43" s="645"/>
      <c r="G43" s="645"/>
      <c r="H43" s="645"/>
      <c r="I43" s="645"/>
      <c r="J43" s="105"/>
      <c r="K43" s="102"/>
      <c r="L43" s="102"/>
      <c r="M43" s="102"/>
      <c r="N43" s="102"/>
      <c r="O43" s="102"/>
      <c r="P43" s="102"/>
    </row>
    <row r="44" spans="1:16" x14ac:dyDescent="0.25">
      <c r="A44" s="703"/>
      <c r="B44" s="710"/>
      <c r="C44" s="704" t="s">
        <v>627</v>
      </c>
      <c r="D44" s="703" t="s">
        <v>628</v>
      </c>
      <c r="E44" s="707">
        <f>E37*0.178*2</f>
        <v>6.2299999999999995</v>
      </c>
      <c r="F44" s="645"/>
      <c r="G44" s="645"/>
      <c r="H44" s="645"/>
      <c r="I44" s="645"/>
      <c r="J44" s="105"/>
      <c r="K44" s="102"/>
      <c r="L44" s="102"/>
      <c r="M44" s="102"/>
      <c r="N44" s="102"/>
      <c r="O44" s="102"/>
      <c r="P44" s="102"/>
    </row>
    <row r="45" spans="1:16" x14ac:dyDescent="0.25">
      <c r="A45" s="703"/>
      <c r="B45" s="710"/>
      <c r="C45" s="704" t="s">
        <v>629</v>
      </c>
      <c r="D45" s="703" t="s">
        <v>628</v>
      </c>
      <c r="E45" s="707">
        <f>E37*0.08*2</f>
        <v>2.8000000000000003</v>
      </c>
      <c r="F45" s="645"/>
      <c r="G45" s="645"/>
      <c r="H45" s="645"/>
      <c r="I45" s="645"/>
      <c r="J45" s="105"/>
      <c r="K45" s="102"/>
      <c r="L45" s="102"/>
      <c r="M45" s="102"/>
      <c r="N45" s="102"/>
      <c r="O45" s="102"/>
      <c r="P45" s="102"/>
    </row>
    <row r="46" spans="1:16" x14ac:dyDescent="0.25">
      <c r="A46" s="703">
        <v>8</v>
      </c>
      <c r="B46" s="703" t="s">
        <v>630</v>
      </c>
      <c r="C46" s="706" t="s">
        <v>631</v>
      </c>
      <c r="D46" s="703" t="s">
        <v>17</v>
      </c>
      <c r="E46" s="707">
        <f>E37</f>
        <v>17.5</v>
      </c>
      <c r="F46" s="645"/>
      <c r="G46" s="645"/>
      <c r="H46" s="645"/>
      <c r="I46" s="645"/>
      <c r="J46" s="105"/>
      <c r="K46" s="102"/>
      <c r="L46" s="102"/>
      <c r="M46" s="102"/>
      <c r="N46" s="102"/>
      <c r="O46" s="102"/>
      <c r="P46" s="102"/>
    </row>
    <row r="47" spans="1:16" x14ac:dyDescent="0.25">
      <c r="A47" s="703"/>
      <c r="B47" s="710"/>
      <c r="C47" s="704" t="s">
        <v>632</v>
      </c>
      <c r="D47" s="703" t="s">
        <v>23</v>
      </c>
      <c r="E47" s="707">
        <f>E46*0.1</f>
        <v>1.75</v>
      </c>
      <c r="F47" s="645"/>
      <c r="G47" s="645"/>
      <c r="H47" s="645"/>
      <c r="I47" s="645"/>
      <c r="J47" s="105"/>
      <c r="K47" s="102"/>
      <c r="L47" s="102"/>
      <c r="M47" s="102"/>
      <c r="N47" s="102"/>
      <c r="O47" s="102"/>
      <c r="P47" s="102"/>
    </row>
    <row r="48" spans="1:16" x14ac:dyDescent="0.25">
      <c r="A48" s="703"/>
      <c r="B48" s="710"/>
      <c r="C48" s="704" t="s">
        <v>633</v>
      </c>
      <c r="D48" s="703" t="s">
        <v>23</v>
      </c>
      <c r="E48" s="707">
        <f>E46*0.4</f>
        <v>7</v>
      </c>
      <c r="F48" s="645"/>
      <c r="G48" s="645"/>
      <c r="H48" s="645"/>
      <c r="I48" s="645"/>
      <c r="J48" s="105"/>
      <c r="K48" s="102"/>
      <c r="L48" s="102"/>
      <c r="M48" s="102"/>
      <c r="N48" s="102"/>
      <c r="O48" s="102"/>
      <c r="P48" s="102"/>
    </row>
    <row r="49" spans="1:16" x14ac:dyDescent="0.25">
      <c r="A49" s="703"/>
      <c r="B49" s="710"/>
      <c r="C49" s="704" t="s">
        <v>634</v>
      </c>
      <c r="D49" s="703" t="s">
        <v>52</v>
      </c>
      <c r="E49" s="707">
        <f>E46*0.3</f>
        <v>5.25</v>
      </c>
      <c r="F49" s="645"/>
      <c r="G49" s="645"/>
      <c r="H49" s="645"/>
      <c r="I49" s="645"/>
      <c r="J49" s="105"/>
      <c r="K49" s="102"/>
      <c r="L49" s="102"/>
      <c r="M49" s="102"/>
      <c r="N49" s="102"/>
      <c r="O49" s="102"/>
      <c r="P49" s="102"/>
    </row>
    <row r="50" spans="1:16" ht="22.5" x14ac:dyDescent="0.25">
      <c r="A50" s="174">
        <v>9</v>
      </c>
      <c r="B50" s="174"/>
      <c r="C50" s="711" t="s">
        <v>637</v>
      </c>
      <c r="D50" s="174" t="s">
        <v>620</v>
      </c>
      <c r="E50" s="174">
        <v>24</v>
      </c>
      <c r="F50" s="645"/>
      <c r="G50" s="645"/>
      <c r="H50" s="645"/>
      <c r="I50" s="645"/>
      <c r="J50" s="105"/>
      <c r="K50" s="102"/>
      <c r="L50" s="102"/>
      <c r="M50" s="102"/>
      <c r="N50" s="102"/>
      <c r="O50" s="102"/>
      <c r="P50" s="102"/>
    </row>
    <row r="52" spans="1:16" s="110" customFormat="1" x14ac:dyDescent="0.25">
      <c r="A52" s="21"/>
      <c r="B52" s="117"/>
      <c r="C52" s="217" t="s">
        <v>179</v>
      </c>
      <c r="D52" s="607"/>
      <c r="E52" s="607"/>
      <c r="F52" s="607"/>
      <c r="G52" s="607"/>
      <c r="H52" s="607"/>
      <c r="I52" s="607"/>
      <c r="J52" s="607"/>
      <c r="K52" s="607"/>
      <c r="L52" s="608">
        <f>SUM(L12:L30)</f>
        <v>0</v>
      </c>
      <c r="M52" s="608">
        <f>SUM(M12:M30)</f>
        <v>0</v>
      </c>
      <c r="N52" s="608">
        <f>SUM(N12:N30)</f>
        <v>0</v>
      </c>
      <c r="O52" s="608">
        <f>SUM(O12:O30)</f>
        <v>0</v>
      </c>
      <c r="P52" s="608">
        <f>SUM(P12:P30)</f>
        <v>0</v>
      </c>
    </row>
    <row r="53" spans="1:16" s="110" customFormat="1" x14ac:dyDescent="0.25">
      <c r="A53" s="21"/>
      <c r="B53" s="21"/>
      <c r="C53" s="610"/>
      <c r="D53" s="607"/>
      <c r="E53" s="609"/>
      <c r="F53" s="609"/>
      <c r="G53" s="609"/>
      <c r="H53" s="609"/>
      <c r="I53" s="609"/>
      <c r="J53" s="609"/>
      <c r="K53" s="609"/>
      <c r="L53" s="608"/>
      <c r="M53" s="608"/>
      <c r="N53" s="608"/>
      <c r="O53" s="608"/>
      <c r="P53" s="608"/>
    </row>
    <row r="54" spans="1:16" s="110" customFormat="1" x14ac:dyDescent="0.25">
      <c r="A54" s="406"/>
    </row>
    <row r="55" spans="1:16" s="110" customFormat="1" x14ac:dyDescent="0.25">
      <c r="A55" s="406"/>
      <c r="B55" s="140" t="str">
        <f>sas</f>
        <v>Sastādīja:</v>
      </c>
      <c r="C55" s="140"/>
      <c r="D55" s="94"/>
      <c r="E55" s="94"/>
      <c r="F55" s="94"/>
      <c r="G55" s="137"/>
    </row>
    <row r="56" spans="1:16" s="110" customFormat="1" x14ac:dyDescent="0.25">
      <c r="A56" s="406"/>
      <c r="B56" s="140"/>
      <c r="C56" s="358" t="s">
        <v>145</v>
      </c>
      <c r="D56" s="140"/>
      <c r="E56" s="140"/>
      <c r="F56" s="94"/>
      <c r="G56" s="138"/>
    </row>
    <row r="57" spans="1:16" s="110" customFormat="1" x14ac:dyDescent="0.25">
      <c r="A57" s="406"/>
      <c r="B57" s="161"/>
      <c r="C57" s="161"/>
      <c r="D57" s="140"/>
      <c r="E57" s="140"/>
      <c r="F57" s="94"/>
    </row>
    <row r="58" spans="1:16" x14ac:dyDescent="0.25">
      <c r="A58" s="168"/>
      <c r="B58" s="140" t="str">
        <f>dat</f>
        <v>Tāme sastādīta 201__. gada __.____________</v>
      </c>
      <c r="C58" s="140"/>
      <c r="D58" s="140"/>
      <c r="E58" s="140"/>
      <c r="F58" s="94"/>
      <c r="G58" s="137"/>
      <c r="H58" s="88"/>
      <c r="I58" s="88"/>
      <c r="J58" s="88"/>
      <c r="K58" s="88"/>
      <c r="L58" s="88"/>
      <c r="M58" s="88"/>
      <c r="N58" s="88"/>
      <c r="O58" s="88"/>
      <c r="P58" s="88"/>
    </row>
    <row r="59" spans="1:16" x14ac:dyDescent="0.25">
      <c r="A59" s="168"/>
      <c r="B59" s="161"/>
      <c r="C59" s="161"/>
      <c r="D59" s="140"/>
      <c r="E59" s="140"/>
      <c r="F59" s="94"/>
      <c r="G59" s="24"/>
      <c r="H59" s="88"/>
      <c r="I59" s="88"/>
      <c r="J59" s="88"/>
      <c r="K59" s="88"/>
      <c r="L59" s="88"/>
      <c r="M59" s="88"/>
      <c r="N59" s="362"/>
      <c r="O59" s="88"/>
      <c r="P59" s="362"/>
    </row>
    <row r="60" spans="1:16" x14ac:dyDescent="0.25">
      <c r="A60" s="168"/>
      <c r="B60" s="140" t="s">
        <v>147</v>
      </c>
      <c r="C60" s="140"/>
      <c r="D60" s="100"/>
      <c r="E60" s="100"/>
      <c r="F60" s="45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1:16" x14ac:dyDescent="0.25">
      <c r="A61" s="168"/>
      <c r="B61" s="140"/>
      <c r="C61" s="358" t="s">
        <v>145</v>
      </c>
      <c r="D61" s="100"/>
      <c r="E61" s="100"/>
      <c r="F61" s="45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1:16" x14ac:dyDescent="0.25">
      <c r="A62" s="168"/>
      <c r="B62" s="161"/>
      <c r="C62" s="140" t="s">
        <v>148</v>
      </c>
      <c r="D62" s="100"/>
      <c r="E62" s="100"/>
      <c r="F62" s="45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1:16" x14ac:dyDescent="0.25">
      <c r="A63" s="16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4" spans="1:16" x14ac:dyDescent="0.25">
      <c r="A64" s="16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</row>
    <row r="65" spans="1:16" x14ac:dyDescent="0.25">
      <c r="A65" s="16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</row>
    <row r="66" spans="1:16" x14ac:dyDescent="0.25">
      <c r="A66" s="16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</row>
    <row r="67" spans="1:16" x14ac:dyDescent="0.25">
      <c r="A67" s="16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</row>
  </sheetData>
  <mergeCells count="8">
    <mergeCell ref="L9:P9"/>
    <mergeCell ref="D9:D10"/>
    <mergeCell ref="A1:G1"/>
    <mergeCell ref="A9:A10"/>
    <mergeCell ref="B9:B10"/>
    <mergeCell ref="C9:C10"/>
    <mergeCell ref="E9:E10"/>
    <mergeCell ref="F9:K9"/>
  </mergeCells>
  <pageMargins left="0.7" right="0.7" top="0.75" bottom="0.75" header="0.3" footer="0.3"/>
  <pageSetup paperSize="9" scale="5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9B35-318A-4A0A-A3A8-76CA72DC662A}">
  <sheetPr>
    <tabColor rgb="FF92D050"/>
  </sheetPr>
  <dimension ref="A1:R52"/>
  <sheetViews>
    <sheetView view="pageBreakPreview" zoomScale="85" zoomScaleNormal="115" zoomScaleSheetLayoutView="85" workbookViewId="0">
      <selection activeCell="C30" sqref="C30"/>
    </sheetView>
  </sheetViews>
  <sheetFormatPr defaultColWidth="8.5703125" defaultRowHeight="11.25" x14ac:dyDescent="0.25"/>
  <cols>
    <col min="1" max="1" width="3.85546875" style="168" customWidth="1"/>
    <col min="2" max="2" width="2.85546875" style="88" customWidth="1"/>
    <col min="3" max="3" width="39.28515625" style="88" customWidth="1"/>
    <col min="4" max="4" width="7.140625" style="88" customWidth="1"/>
    <col min="5" max="6" width="5.7109375" style="88" customWidth="1"/>
    <col min="7" max="7" width="5.28515625" style="88" customWidth="1"/>
    <col min="8" max="8" width="6.5703125" style="88" customWidth="1"/>
    <col min="9" max="9" width="6" style="88" customWidth="1"/>
    <col min="10" max="10" width="5.85546875" style="88" customWidth="1"/>
    <col min="11" max="11" width="6.5703125" style="88" customWidth="1"/>
    <col min="12" max="12" width="7.140625" style="88" customWidth="1"/>
    <col min="13" max="13" width="9" style="88" customWidth="1"/>
    <col min="14" max="14" width="8" style="88" customWidth="1"/>
    <col min="15" max="15" width="6.7109375" style="88" customWidth="1"/>
    <col min="16" max="17" width="9" style="88" customWidth="1"/>
    <col min="18" max="18" width="46.7109375" style="88" customWidth="1"/>
    <col min="19" max="16384" width="8.5703125" style="88"/>
  </cols>
  <sheetData>
    <row r="1" spans="1:18" s="4" customFormat="1" ht="12" thickBot="1" x14ac:dyDescent="0.3">
      <c r="A1" s="403"/>
      <c r="B1" s="62"/>
      <c r="C1" s="62"/>
      <c r="D1" s="62"/>
      <c r="E1" s="62"/>
      <c r="F1" s="191" t="s">
        <v>6</v>
      </c>
      <c r="G1" s="192">
        <f>KPDV!B35</f>
        <v>23</v>
      </c>
      <c r="H1" s="62"/>
      <c r="I1" s="62"/>
      <c r="J1" s="62"/>
      <c r="K1" s="62"/>
      <c r="L1" s="62"/>
    </row>
    <row r="2" spans="1:18" s="4" customFormat="1" x14ac:dyDescent="0.25">
      <c r="A2" s="403"/>
      <c r="B2" s="62"/>
      <c r="C2" s="43" t="s">
        <v>773</v>
      </c>
      <c r="D2" s="62"/>
      <c r="E2" s="62"/>
      <c r="F2" s="191"/>
      <c r="G2" s="193"/>
      <c r="H2" s="62"/>
      <c r="I2" s="62"/>
      <c r="J2" s="62"/>
      <c r="K2" s="62"/>
      <c r="L2" s="62"/>
    </row>
    <row r="3" spans="1:18" s="4" customFormat="1" x14ac:dyDescent="0.25">
      <c r="A3" s="190" t="str">
        <f>nos</f>
        <v>Būves nosaukums:  Dzīvojamās māja</v>
      </c>
      <c r="B3" s="62"/>
    </row>
    <row r="4" spans="1:18" s="4" customFormat="1" x14ac:dyDescent="0.25">
      <c r="A4" s="168" t="str">
        <f>obj</f>
        <v>Objekta nosaukums: Dzīvojamās ēkas fasādes vienkāršota atjaunošana</v>
      </c>
      <c r="B4" s="62"/>
    </row>
    <row r="5" spans="1:18" s="4" customFormat="1" x14ac:dyDescent="0.25">
      <c r="A5" s="168" t="str">
        <f>adres</f>
        <v>Objekta adrese: Aisteres iela 7, Liepājā</v>
      </c>
      <c r="B5" s="62"/>
    </row>
    <row r="6" spans="1:18" s="4" customFormat="1" ht="12" thickBot="1" x14ac:dyDescent="0.3">
      <c r="A6" s="168" t="str">
        <f>nr</f>
        <v>Pasūtījuma Nr.WS-41-17</v>
      </c>
      <c r="B6" s="62"/>
    </row>
    <row r="7" spans="1:18" s="360" customFormat="1" ht="23.25" thickBot="1" x14ac:dyDescent="0.3">
      <c r="A7" s="190"/>
      <c r="B7" s="7"/>
      <c r="C7" s="186" t="s">
        <v>695</v>
      </c>
      <c r="D7" s="171" t="s">
        <v>775</v>
      </c>
      <c r="E7" s="7" t="s">
        <v>143</v>
      </c>
      <c r="F7" s="7"/>
      <c r="G7" s="7"/>
      <c r="H7" s="7"/>
      <c r="I7" s="7"/>
      <c r="J7" s="7"/>
      <c r="K7" s="7"/>
      <c r="L7" s="7"/>
      <c r="M7" s="7"/>
      <c r="N7" s="7"/>
      <c r="O7" s="163" t="s">
        <v>144</v>
      </c>
      <c r="P7" s="194">
        <f>P43</f>
        <v>0</v>
      </c>
      <c r="Q7" s="697"/>
    </row>
    <row r="8" spans="1:18" s="4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62"/>
      <c r="N8" s="188"/>
      <c r="O8" s="189" t="str">
        <f>KPDV!C47</f>
        <v>Tāme sastādīta 201__. gada __.____________</v>
      </c>
      <c r="P8" s="43"/>
      <c r="Q8" s="43"/>
    </row>
    <row r="9" spans="1:18" x14ac:dyDescent="0.25">
      <c r="A9" s="830" t="s">
        <v>7</v>
      </c>
      <c r="B9" s="831" t="s">
        <v>8</v>
      </c>
      <c r="C9" s="868" t="s">
        <v>9</v>
      </c>
      <c r="D9" s="867" t="s">
        <v>51</v>
      </c>
      <c r="E9" s="866" t="s">
        <v>10</v>
      </c>
      <c r="F9" s="829" t="s">
        <v>133</v>
      </c>
      <c r="G9" s="829"/>
      <c r="H9" s="829"/>
      <c r="I9" s="829"/>
      <c r="J9" s="829"/>
      <c r="K9" s="829"/>
      <c r="L9" s="829" t="s">
        <v>134</v>
      </c>
      <c r="M9" s="829"/>
      <c r="N9" s="829"/>
      <c r="O9" s="829"/>
      <c r="P9" s="829"/>
      <c r="Q9" s="114"/>
    </row>
    <row r="10" spans="1:18" ht="69" x14ac:dyDescent="0.25">
      <c r="A10" s="830"/>
      <c r="B10" s="831"/>
      <c r="C10" s="868"/>
      <c r="D10" s="867"/>
      <c r="E10" s="866"/>
      <c r="F10" s="749" t="s">
        <v>135</v>
      </c>
      <c r="G10" s="749" t="s">
        <v>136</v>
      </c>
      <c r="H10" s="749" t="s">
        <v>137</v>
      </c>
      <c r="I10" s="749" t="s">
        <v>138</v>
      </c>
      <c r="J10" s="749" t="s">
        <v>139</v>
      </c>
      <c r="K10" s="749" t="s">
        <v>140</v>
      </c>
      <c r="L10" s="749" t="s">
        <v>141</v>
      </c>
      <c r="M10" s="749" t="s">
        <v>137</v>
      </c>
      <c r="N10" s="749" t="s">
        <v>138</v>
      </c>
      <c r="O10" s="749" t="s">
        <v>139</v>
      </c>
      <c r="P10" s="749" t="s">
        <v>140</v>
      </c>
      <c r="Q10" s="698"/>
    </row>
    <row r="11" spans="1:18" x14ac:dyDescent="0.25">
      <c r="A11" s="404">
        <v>1</v>
      </c>
      <c r="B11" s="233">
        <f>A11+1</f>
        <v>2</v>
      </c>
      <c r="C11" s="748">
        <f>B11+1</f>
        <v>3</v>
      </c>
      <c r="D11" s="233">
        <f>C11+1</f>
        <v>4</v>
      </c>
      <c r="E11" s="233">
        <f>D11+1</f>
        <v>5</v>
      </c>
      <c r="F11" s="234">
        <f t="shared" ref="F11:P11" si="0">E11+1</f>
        <v>6</v>
      </c>
      <c r="G11" s="234">
        <f t="shared" si="0"/>
        <v>7</v>
      </c>
      <c r="H11" s="234">
        <f t="shared" si="0"/>
        <v>8</v>
      </c>
      <c r="I11" s="234">
        <f t="shared" si="0"/>
        <v>9</v>
      </c>
      <c r="J11" s="234">
        <f t="shared" si="0"/>
        <v>10</v>
      </c>
      <c r="K11" s="234">
        <f t="shared" si="0"/>
        <v>11</v>
      </c>
      <c r="L11" s="234">
        <f t="shared" si="0"/>
        <v>12</v>
      </c>
      <c r="M11" s="234">
        <f t="shared" si="0"/>
        <v>13</v>
      </c>
      <c r="N11" s="234">
        <f t="shared" si="0"/>
        <v>14</v>
      </c>
      <c r="O11" s="234">
        <f t="shared" si="0"/>
        <v>15</v>
      </c>
      <c r="P11" s="234">
        <f t="shared" si="0"/>
        <v>16</v>
      </c>
      <c r="Q11" s="699"/>
    </row>
    <row r="12" spans="1:18" x14ac:dyDescent="0.25">
      <c r="A12" s="754"/>
      <c r="B12" s="881" t="s">
        <v>776</v>
      </c>
      <c r="C12" s="882"/>
      <c r="D12" s="882"/>
      <c r="E12" s="754"/>
      <c r="F12" s="712"/>
      <c r="G12" s="712"/>
      <c r="H12" s="712"/>
      <c r="I12" s="712"/>
      <c r="J12" s="712"/>
      <c r="K12" s="712"/>
      <c r="L12" s="712"/>
      <c r="M12" s="712"/>
      <c r="N12" s="712"/>
      <c r="O12" s="712"/>
      <c r="P12" s="712"/>
      <c r="Q12" s="694"/>
    </row>
    <row r="13" spans="1:18" s="110" customFormat="1" x14ac:dyDescent="0.25">
      <c r="A13" s="713">
        <v>1</v>
      </c>
      <c r="B13" s="713"/>
      <c r="C13" s="714" t="s">
        <v>777</v>
      </c>
      <c r="D13" s="713" t="s">
        <v>68</v>
      </c>
      <c r="E13" s="713">
        <v>2</v>
      </c>
      <c r="F13" s="715"/>
      <c r="G13" s="715"/>
      <c r="H13" s="715"/>
      <c r="I13" s="716"/>
      <c r="J13" s="716"/>
      <c r="K13" s="715"/>
      <c r="L13" s="715"/>
      <c r="M13" s="715"/>
      <c r="N13" s="715"/>
      <c r="O13" s="715"/>
      <c r="P13" s="715"/>
      <c r="Q13" s="880"/>
      <c r="R13" s="88"/>
    </row>
    <row r="14" spans="1:18" s="110" customFormat="1" ht="22.5" x14ac:dyDescent="0.25">
      <c r="A14" s="713">
        <v>2</v>
      </c>
      <c r="B14" s="713"/>
      <c r="C14" s="714" t="s">
        <v>778</v>
      </c>
      <c r="D14" s="713" t="s">
        <v>68</v>
      </c>
      <c r="E14" s="713">
        <v>9</v>
      </c>
      <c r="F14" s="715"/>
      <c r="G14" s="715"/>
      <c r="H14" s="715"/>
      <c r="I14" s="716"/>
      <c r="J14" s="716"/>
      <c r="K14" s="715"/>
      <c r="L14" s="715"/>
      <c r="M14" s="715"/>
      <c r="N14" s="715"/>
      <c r="O14" s="715"/>
      <c r="P14" s="715"/>
      <c r="Q14" s="880"/>
      <c r="R14" s="88"/>
    </row>
    <row r="15" spans="1:18" s="110" customFormat="1" ht="22.5" x14ac:dyDescent="0.25">
      <c r="A15" s="713">
        <v>2</v>
      </c>
      <c r="B15" s="713"/>
      <c r="C15" s="714" t="s">
        <v>779</v>
      </c>
      <c r="D15" s="713" t="s">
        <v>68</v>
      </c>
      <c r="E15" s="713">
        <v>2</v>
      </c>
      <c r="F15" s="715"/>
      <c r="G15" s="715"/>
      <c r="H15" s="715"/>
      <c r="I15" s="716"/>
      <c r="J15" s="716"/>
      <c r="K15" s="715"/>
      <c r="L15" s="715"/>
      <c r="M15" s="715"/>
      <c r="N15" s="715"/>
      <c r="O15" s="715"/>
      <c r="P15" s="715"/>
      <c r="Q15" s="880"/>
      <c r="R15" s="88"/>
    </row>
    <row r="16" spans="1:18" s="110" customFormat="1" ht="22.5" x14ac:dyDescent="0.25">
      <c r="A16" s="713">
        <v>3</v>
      </c>
      <c r="B16" s="713"/>
      <c r="C16" s="714" t="s">
        <v>780</v>
      </c>
      <c r="D16" s="713" t="s">
        <v>68</v>
      </c>
      <c r="E16" s="713">
        <v>9</v>
      </c>
      <c r="F16" s="715"/>
      <c r="G16" s="715"/>
      <c r="H16" s="715"/>
      <c r="I16" s="716"/>
      <c r="J16" s="716"/>
      <c r="K16" s="715"/>
      <c r="L16" s="715"/>
      <c r="M16" s="715"/>
      <c r="N16" s="715"/>
      <c r="O16" s="715"/>
      <c r="P16" s="715"/>
      <c r="Q16" s="880"/>
      <c r="R16" s="88"/>
    </row>
    <row r="17" spans="1:18" s="110" customFormat="1" ht="22.5" x14ac:dyDescent="0.25">
      <c r="A17" s="713">
        <v>3</v>
      </c>
      <c r="B17" s="713"/>
      <c r="C17" s="714" t="s">
        <v>781</v>
      </c>
      <c r="D17" s="713" t="s">
        <v>68</v>
      </c>
      <c r="E17" s="713">
        <v>2</v>
      </c>
      <c r="F17" s="715"/>
      <c r="G17" s="715"/>
      <c r="H17" s="715"/>
      <c r="I17" s="716"/>
      <c r="J17" s="716"/>
      <c r="K17" s="715"/>
      <c r="L17" s="715"/>
      <c r="M17" s="715"/>
      <c r="N17" s="715"/>
      <c r="O17" s="715"/>
      <c r="P17" s="715"/>
      <c r="Q17" s="880"/>
      <c r="R17" s="88"/>
    </row>
    <row r="18" spans="1:18" s="110" customFormat="1" ht="22.5" x14ac:dyDescent="0.25">
      <c r="A18" s="713">
        <v>4</v>
      </c>
      <c r="B18" s="713"/>
      <c r="C18" s="714" t="s">
        <v>782</v>
      </c>
      <c r="D18" s="713" t="s">
        <v>68</v>
      </c>
      <c r="E18" s="713">
        <v>2</v>
      </c>
      <c r="F18" s="715"/>
      <c r="G18" s="715"/>
      <c r="H18" s="715"/>
      <c r="I18" s="716"/>
      <c r="J18" s="716"/>
      <c r="K18" s="715"/>
      <c r="L18" s="715"/>
      <c r="M18" s="715"/>
      <c r="N18" s="715"/>
      <c r="O18" s="715"/>
      <c r="P18" s="715"/>
      <c r="Q18" s="880"/>
      <c r="R18" s="88"/>
    </row>
    <row r="19" spans="1:18" x14ac:dyDescent="0.25">
      <c r="A19" s="713">
        <v>5</v>
      </c>
      <c r="B19" s="713"/>
      <c r="C19" s="714" t="s">
        <v>783</v>
      </c>
      <c r="D19" s="713" t="s">
        <v>16</v>
      </c>
      <c r="E19" s="713">
        <v>380</v>
      </c>
      <c r="F19" s="715"/>
      <c r="G19" s="715"/>
      <c r="H19" s="715"/>
      <c r="I19" s="716"/>
      <c r="J19" s="716"/>
      <c r="K19" s="715"/>
      <c r="L19" s="715"/>
      <c r="M19" s="715"/>
      <c r="N19" s="715"/>
      <c r="O19" s="715"/>
      <c r="P19" s="715"/>
      <c r="Q19" s="880"/>
    </row>
    <row r="20" spans="1:18" x14ac:dyDescent="0.25">
      <c r="A20" s="713">
        <v>6</v>
      </c>
      <c r="B20" s="713"/>
      <c r="C20" s="714" t="s">
        <v>784</v>
      </c>
      <c r="D20" s="713" t="s">
        <v>16</v>
      </c>
      <c r="E20" s="713">
        <v>280</v>
      </c>
      <c r="F20" s="715"/>
      <c r="G20" s="715"/>
      <c r="H20" s="715"/>
      <c r="I20" s="716"/>
      <c r="J20" s="716"/>
      <c r="K20" s="715"/>
      <c r="L20" s="715"/>
      <c r="M20" s="715"/>
      <c r="N20" s="715"/>
      <c r="O20" s="715"/>
      <c r="P20" s="715"/>
      <c r="Q20" s="880"/>
    </row>
    <row r="21" spans="1:18" x14ac:dyDescent="0.25">
      <c r="A21" s="713">
        <v>7</v>
      </c>
      <c r="B21" s="713"/>
      <c r="C21" s="714" t="s">
        <v>785</v>
      </c>
      <c r="D21" s="713" t="s">
        <v>16</v>
      </c>
      <c r="E21" s="713">
        <v>220</v>
      </c>
      <c r="F21" s="715"/>
      <c r="G21" s="715"/>
      <c r="H21" s="715"/>
      <c r="I21" s="716"/>
      <c r="J21" s="716"/>
      <c r="K21" s="715"/>
      <c r="L21" s="715"/>
      <c r="M21" s="715"/>
      <c r="N21" s="715"/>
      <c r="O21" s="715"/>
      <c r="P21" s="715"/>
      <c r="Q21" s="880"/>
    </row>
    <row r="22" spans="1:18" x14ac:dyDescent="0.25">
      <c r="A22" s="713">
        <v>8</v>
      </c>
      <c r="B22" s="713"/>
      <c r="C22" s="714" t="s">
        <v>915</v>
      </c>
      <c r="D22" s="713" t="s">
        <v>16</v>
      </c>
      <c r="E22" s="713">
        <v>260</v>
      </c>
      <c r="F22" s="715"/>
      <c r="G22" s="715"/>
      <c r="H22" s="715"/>
      <c r="I22" s="716"/>
      <c r="J22" s="716"/>
      <c r="K22" s="715"/>
      <c r="L22" s="715"/>
      <c r="M22" s="715"/>
      <c r="N22" s="715"/>
      <c r="O22" s="715"/>
      <c r="P22" s="715"/>
      <c r="Q22" s="880"/>
    </row>
    <row r="23" spans="1:18" s="110" customFormat="1" x14ac:dyDescent="0.25">
      <c r="A23" s="713">
        <v>9</v>
      </c>
      <c r="B23" s="713"/>
      <c r="C23" s="714" t="s">
        <v>786</v>
      </c>
      <c r="D23" s="713" t="s">
        <v>16</v>
      </c>
      <c r="E23" s="713">
        <v>140</v>
      </c>
      <c r="F23" s="715"/>
      <c r="G23" s="715"/>
      <c r="H23" s="715"/>
      <c r="I23" s="716"/>
      <c r="J23" s="716"/>
      <c r="K23" s="715"/>
      <c r="L23" s="715"/>
      <c r="M23" s="715"/>
      <c r="N23" s="715"/>
      <c r="O23" s="715"/>
      <c r="P23" s="715"/>
      <c r="Q23" s="880"/>
      <c r="R23" s="88"/>
    </row>
    <row r="24" spans="1:18" s="110" customFormat="1" x14ac:dyDescent="0.25">
      <c r="A24" s="713">
        <v>10</v>
      </c>
      <c r="B24" s="713"/>
      <c r="C24" s="714" t="s">
        <v>787</v>
      </c>
      <c r="D24" s="713" t="s">
        <v>788</v>
      </c>
      <c r="E24" s="713">
        <v>400</v>
      </c>
      <c r="F24" s="715"/>
      <c r="G24" s="715"/>
      <c r="H24" s="715"/>
      <c r="I24" s="716"/>
      <c r="J24" s="716"/>
      <c r="K24" s="715"/>
      <c r="L24" s="715"/>
      <c r="M24" s="715"/>
      <c r="N24" s="715"/>
      <c r="O24" s="715"/>
      <c r="P24" s="715"/>
      <c r="Q24" s="880"/>
      <c r="R24" s="88"/>
    </row>
    <row r="25" spans="1:18" s="110" customFormat="1" x14ac:dyDescent="0.25">
      <c r="A25" s="713">
        <v>11</v>
      </c>
      <c r="B25" s="713"/>
      <c r="C25" s="714" t="s">
        <v>789</v>
      </c>
      <c r="D25" s="713" t="s">
        <v>788</v>
      </c>
      <c r="E25" s="713">
        <v>260</v>
      </c>
      <c r="F25" s="715"/>
      <c r="G25" s="715"/>
      <c r="H25" s="715"/>
      <c r="I25" s="716"/>
      <c r="J25" s="716"/>
      <c r="K25" s="715"/>
      <c r="L25" s="715"/>
      <c r="M25" s="715"/>
      <c r="N25" s="715"/>
      <c r="O25" s="715"/>
      <c r="P25" s="715"/>
      <c r="Q25" s="880"/>
      <c r="R25" s="88"/>
    </row>
    <row r="26" spans="1:18" x14ac:dyDescent="0.25">
      <c r="A26" s="713">
        <v>12</v>
      </c>
      <c r="B26" s="713"/>
      <c r="C26" s="714" t="s">
        <v>790</v>
      </c>
      <c r="D26" s="713" t="s">
        <v>201</v>
      </c>
      <c r="E26" s="713">
        <v>42</v>
      </c>
      <c r="F26" s="715"/>
      <c r="G26" s="715"/>
      <c r="H26" s="715"/>
      <c r="I26" s="716"/>
      <c r="J26" s="716"/>
      <c r="K26" s="715"/>
      <c r="L26" s="715"/>
      <c r="M26" s="715"/>
      <c r="N26" s="715"/>
      <c r="O26" s="715"/>
      <c r="P26" s="715"/>
      <c r="Q26" s="116"/>
    </row>
    <row r="27" spans="1:18" x14ac:dyDescent="0.25">
      <c r="A27" s="713">
        <v>13</v>
      </c>
      <c r="B27" s="713"/>
      <c r="C27" s="714" t="s">
        <v>791</v>
      </c>
      <c r="D27" s="713" t="s">
        <v>201</v>
      </c>
      <c r="E27" s="713">
        <v>14</v>
      </c>
      <c r="F27" s="715"/>
      <c r="G27" s="715"/>
      <c r="H27" s="715"/>
      <c r="I27" s="716"/>
      <c r="J27" s="716"/>
      <c r="K27" s="715"/>
      <c r="L27" s="715"/>
      <c r="M27" s="715"/>
      <c r="N27" s="715"/>
      <c r="O27" s="715"/>
      <c r="P27" s="715"/>
      <c r="Q27" s="116"/>
    </row>
    <row r="28" spans="1:18" x14ac:dyDescent="0.25">
      <c r="A28" s="713">
        <v>14</v>
      </c>
      <c r="B28" s="713"/>
      <c r="C28" s="714" t="s">
        <v>792</v>
      </c>
      <c r="D28" s="713" t="s">
        <v>201</v>
      </c>
      <c r="E28" s="713">
        <v>28</v>
      </c>
      <c r="F28" s="715"/>
      <c r="G28" s="715"/>
      <c r="H28" s="715"/>
      <c r="I28" s="716"/>
      <c r="J28" s="716"/>
      <c r="K28" s="715"/>
      <c r="L28" s="715"/>
      <c r="M28" s="715"/>
      <c r="N28" s="715"/>
      <c r="O28" s="715"/>
      <c r="P28" s="715"/>
      <c r="Q28" s="116"/>
    </row>
    <row r="29" spans="1:18" x14ac:dyDescent="0.25">
      <c r="A29" s="713">
        <v>15</v>
      </c>
      <c r="B29" s="713"/>
      <c r="C29" s="714" t="s">
        <v>793</v>
      </c>
      <c r="D29" s="713" t="s">
        <v>201</v>
      </c>
      <c r="E29" s="713">
        <v>14</v>
      </c>
      <c r="F29" s="715"/>
      <c r="G29" s="715"/>
      <c r="H29" s="715"/>
      <c r="I29" s="716"/>
      <c r="J29" s="716"/>
      <c r="K29" s="715"/>
      <c r="L29" s="715"/>
      <c r="M29" s="715"/>
      <c r="N29" s="715"/>
      <c r="O29" s="715"/>
      <c r="P29" s="715"/>
      <c r="Q29" s="116"/>
    </row>
    <row r="30" spans="1:18" x14ac:dyDescent="0.25">
      <c r="A30" s="713">
        <v>16</v>
      </c>
      <c r="B30" s="713"/>
      <c r="C30" s="714" t="s">
        <v>794</v>
      </c>
      <c r="D30" s="713" t="s">
        <v>788</v>
      </c>
      <c r="E30" s="713">
        <v>14</v>
      </c>
      <c r="F30" s="715"/>
      <c r="G30" s="715"/>
      <c r="H30" s="715"/>
      <c r="I30" s="716"/>
      <c r="J30" s="716"/>
      <c r="K30" s="715"/>
      <c r="L30" s="715"/>
      <c r="M30" s="715"/>
      <c r="N30" s="715"/>
      <c r="O30" s="715"/>
      <c r="P30" s="715"/>
      <c r="Q30" s="116"/>
    </row>
    <row r="31" spans="1:18" x14ac:dyDescent="0.25">
      <c r="A31" s="713">
        <v>17</v>
      </c>
      <c r="B31" s="713"/>
      <c r="C31" s="714" t="s">
        <v>795</v>
      </c>
      <c r="D31" s="713" t="s">
        <v>788</v>
      </c>
      <c r="E31" s="713">
        <v>40</v>
      </c>
      <c r="F31" s="715"/>
      <c r="G31" s="715"/>
      <c r="H31" s="715"/>
      <c r="I31" s="716"/>
      <c r="J31" s="716"/>
      <c r="K31" s="715"/>
      <c r="L31" s="715"/>
      <c r="M31" s="715"/>
      <c r="N31" s="715"/>
      <c r="O31" s="715"/>
      <c r="P31" s="715"/>
      <c r="Q31" s="116"/>
    </row>
    <row r="32" spans="1:18" x14ac:dyDescent="0.25">
      <c r="A32" s="713">
        <v>18</v>
      </c>
      <c r="B32" s="713"/>
      <c r="C32" s="714" t="s">
        <v>796</v>
      </c>
      <c r="D32" s="713" t="s">
        <v>16</v>
      </c>
      <c r="E32" s="713">
        <v>250</v>
      </c>
      <c r="F32" s="715"/>
      <c r="G32" s="715"/>
      <c r="H32" s="715"/>
      <c r="I32" s="716"/>
      <c r="J32" s="716"/>
      <c r="K32" s="715"/>
      <c r="L32" s="715"/>
      <c r="M32" s="715"/>
      <c r="N32" s="715"/>
      <c r="O32" s="715"/>
      <c r="P32" s="715"/>
      <c r="Q32" s="116"/>
    </row>
    <row r="33" spans="1:17" x14ac:dyDescent="0.25">
      <c r="A33" s="713">
        <v>19</v>
      </c>
      <c r="B33" s="713"/>
      <c r="C33" s="714" t="s">
        <v>797</v>
      </c>
      <c r="D33" s="713" t="s">
        <v>68</v>
      </c>
      <c r="E33" s="713">
        <v>1</v>
      </c>
      <c r="F33" s="715"/>
      <c r="G33" s="715"/>
      <c r="H33" s="715"/>
      <c r="I33" s="716"/>
      <c r="J33" s="716"/>
      <c r="K33" s="715"/>
      <c r="L33" s="715"/>
      <c r="M33" s="715"/>
      <c r="N33" s="715"/>
      <c r="O33" s="715"/>
      <c r="P33" s="715"/>
      <c r="Q33" s="116"/>
    </row>
    <row r="34" spans="1:17" x14ac:dyDescent="0.25">
      <c r="A34" s="713">
        <v>20</v>
      </c>
      <c r="B34" s="713"/>
      <c r="C34" s="714" t="s">
        <v>798</v>
      </c>
      <c r="D34" s="713" t="s">
        <v>201</v>
      </c>
      <c r="E34" s="713">
        <v>42</v>
      </c>
      <c r="F34" s="715"/>
      <c r="G34" s="715"/>
      <c r="H34" s="715"/>
      <c r="I34" s="716"/>
      <c r="J34" s="716"/>
      <c r="K34" s="715"/>
      <c r="L34" s="715"/>
      <c r="M34" s="715"/>
      <c r="N34" s="715"/>
      <c r="O34" s="715"/>
      <c r="P34" s="715"/>
      <c r="Q34" s="116"/>
    </row>
    <row r="35" spans="1:17" ht="22.5" x14ac:dyDescent="0.25">
      <c r="A35" s="713">
        <v>21</v>
      </c>
      <c r="B35" s="713"/>
      <c r="C35" s="714" t="s">
        <v>799</v>
      </c>
      <c r="D35" s="713" t="s">
        <v>68</v>
      </c>
      <c r="E35" s="713">
        <v>1</v>
      </c>
      <c r="F35" s="715"/>
      <c r="G35" s="715"/>
      <c r="H35" s="715"/>
      <c r="I35" s="716"/>
      <c r="J35" s="716"/>
      <c r="K35" s="715"/>
      <c r="L35" s="715"/>
      <c r="M35" s="715"/>
      <c r="N35" s="715"/>
      <c r="O35" s="715"/>
      <c r="P35" s="715"/>
      <c r="Q35" s="116"/>
    </row>
    <row r="36" spans="1:17" x14ac:dyDescent="0.25">
      <c r="A36" s="713">
        <v>22</v>
      </c>
      <c r="B36" s="713"/>
      <c r="C36" s="714" t="s">
        <v>800</v>
      </c>
      <c r="D36" s="713" t="s">
        <v>68</v>
      </c>
      <c r="E36" s="713">
        <v>1</v>
      </c>
      <c r="F36" s="715"/>
      <c r="G36" s="715"/>
      <c r="H36" s="715"/>
      <c r="I36" s="716"/>
      <c r="J36" s="716"/>
      <c r="K36" s="715"/>
      <c r="L36" s="715"/>
      <c r="M36" s="715"/>
      <c r="N36" s="715"/>
      <c r="O36" s="715"/>
      <c r="P36" s="715"/>
      <c r="Q36" s="116"/>
    </row>
    <row r="37" spans="1:17" x14ac:dyDescent="0.25">
      <c r="A37" s="713">
        <v>23</v>
      </c>
      <c r="B37" s="713"/>
      <c r="C37" s="714" t="s">
        <v>801</v>
      </c>
      <c r="D37" s="713" t="s">
        <v>68</v>
      </c>
      <c r="E37" s="713">
        <v>1</v>
      </c>
      <c r="F37" s="715"/>
      <c r="G37" s="715"/>
      <c r="H37" s="715"/>
      <c r="I37" s="716"/>
      <c r="J37" s="716"/>
      <c r="K37" s="715"/>
      <c r="L37" s="715"/>
      <c r="M37" s="715"/>
      <c r="N37" s="715"/>
      <c r="O37" s="715"/>
      <c r="P37" s="715"/>
      <c r="Q37" s="116"/>
    </row>
    <row r="38" spans="1:17" x14ac:dyDescent="0.25">
      <c r="A38" s="713">
        <v>24</v>
      </c>
      <c r="B38" s="713"/>
      <c r="C38" s="714" t="s">
        <v>802</v>
      </c>
      <c r="D38" s="713" t="s">
        <v>68</v>
      </c>
      <c r="E38" s="713">
        <v>14</v>
      </c>
      <c r="F38" s="715"/>
      <c r="G38" s="715"/>
      <c r="H38" s="715"/>
      <c r="I38" s="716"/>
      <c r="J38" s="716"/>
      <c r="K38" s="715"/>
      <c r="L38" s="715"/>
      <c r="M38" s="715"/>
      <c r="N38" s="715"/>
      <c r="O38" s="715"/>
      <c r="P38" s="715"/>
      <c r="Q38" s="116"/>
    </row>
    <row r="39" spans="1:17" x14ac:dyDescent="0.25">
      <c r="A39" s="713">
        <v>25</v>
      </c>
      <c r="B39" s="713"/>
      <c r="C39" s="714" t="s">
        <v>803</v>
      </c>
      <c r="D39" s="713" t="s">
        <v>17</v>
      </c>
      <c r="E39" s="713">
        <v>130</v>
      </c>
      <c r="F39" s="715"/>
      <c r="G39" s="715"/>
      <c r="H39" s="715"/>
      <c r="I39" s="716"/>
      <c r="J39" s="716"/>
      <c r="K39" s="715"/>
      <c r="L39" s="715"/>
      <c r="M39" s="715"/>
      <c r="N39" s="715"/>
      <c r="O39" s="715"/>
      <c r="P39" s="715"/>
      <c r="Q39" s="116"/>
    </row>
    <row r="40" spans="1:17" x14ac:dyDescent="0.25">
      <c r="A40" s="713">
        <v>26</v>
      </c>
      <c r="B40" s="713"/>
      <c r="C40" s="714" t="s">
        <v>804</v>
      </c>
      <c r="D40" s="713" t="s">
        <v>68</v>
      </c>
      <c r="E40" s="713">
        <v>1</v>
      </c>
      <c r="F40" s="715"/>
      <c r="G40" s="715"/>
      <c r="H40" s="715"/>
      <c r="I40" s="716"/>
      <c r="J40" s="716"/>
      <c r="K40" s="715"/>
      <c r="L40" s="715"/>
      <c r="M40" s="715"/>
      <c r="N40" s="715"/>
      <c r="O40" s="715"/>
      <c r="P40" s="715"/>
      <c r="Q40" s="116"/>
    </row>
    <row r="41" spans="1:17" x14ac:dyDescent="0.25">
      <c r="A41" s="713">
        <v>27</v>
      </c>
      <c r="B41" s="713"/>
      <c r="C41" s="714" t="s">
        <v>805</v>
      </c>
      <c r="D41" s="713" t="s">
        <v>68</v>
      </c>
      <c r="E41" s="713">
        <v>1</v>
      </c>
      <c r="F41" s="715"/>
      <c r="G41" s="715"/>
      <c r="H41" s="715"/>
      <c r="I41" s="716"/>
      <c r="J41" s="716"/>
      <c r="K41" s="715"/>
      <c r="L41" s="715"/>
      <c r="M41" s="715"/>
      <c r="N41" s="715"/>
      <c r="O41" s="715"/>
      <c r="P41" s="715"/>
      <c r="Q41" s="116"/>
    </row>
    <row r="42" spans="1:17" x14ac:dyDescent="0.25">
      <c r="A42" s="407"/>
      <c r="B42" s="115"/>
      <c r="C42" s="363"/>
      <c r="D42" s="114"/>
      <c r="E42" s="114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</row>
    <row r="43" spans="1:17" ht="22.5" x14ac:dyDescent="0.25">
      <c r="A43" s="405"/>
      <c r="B43" s="117"/>
      <c r="C43" s="217" t="s">
        <v>179</v>
      </c>
      <c r="D43" s="162"/>
      <c r="E43" s="162"/>
      <c r="F43" s="17"/>
      <c r="G43" s="17"/>
      <c r="H43" s="17"/>
      <c r="I43" s="17"/>
      <c r="J43" s="17"/>
      <c r="K43" s="17"/>
      <c r="L43" s="20">
        <f>SUM(L12:L42)</f>
        <v>0</v>
      </c>
      <c r="M43" s="20">
        <f t="shared" ref="M43:P43" si="1">SUM(M12:M42)</f>
        <v>0</v>
      </c>
      <c r="N43" s="20">
        <f t="shared" si="1"/>
        <v>0</v>
      </c>
      <c r="O43" s="20">
        <f t="shared" si="1"/>
        <v>0</v>
      </c>
      <c r="P43" s="20">
        <f t="shared" si="1"/>
        <v>0</v>
      </c>
      <c r="Q43" s="20"/>
    </row>
    <row r="44" spans="1:17" x14ac:dyDescent="0.25">
      <c r="A44" s="406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</row>
    <row r="45" spans="1:17" x14ac:dyDescent="0.25">
      <c r="A45" s="406"/>
      <c r="B45" s="140" t="str">
        <f>sas</f>
        <v>Sastādīja:</v>
      </c>
      <c r="C45" s="140"/>
      <c r="D45" s="94"/>
      <c r="E45" s="94"/>
      <c r="F45" s="137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</row>
    <row r="46" spans="1:17" x14ac:dyDescent="0.25">
      <c r="A46" s="406"/>
      <c r="B46" s="140"/>
      <c r="C46" s="358" t="s">
        <v>145</v>
      </c>
      <c r="D46" s="140"/>
      <c r="E46" s="94"/>
      <c r="F46" s="138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</row>
    <row r="47" spans="1:17" x14ac:dyDescent="0.25">
      <c r="A47" s="406"/>
      <c r="B47" s="161"/>
      <c r="C47" s="161"/>
      <c r="D47" s="140"/>
      <c r="E47" s="94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</row>
    <row r="48" spans="1:17" x14ac:dyDescent="0.25">
      <c r="B48" s="140" t="str">
        <f>dat</f>
        <v>Tāme sastādīta 201__. gada __.____________</v>
      </c>
      <c r="C48" s="140"/>
      <c r="D48" s="140"/>
      <c r="E48" s="94"/>
      <c r="F48" s="137"/>
    </row>
    <row r="49" spans="2:15" x14ac:dyDescent="0.25">
      <c r="B49" s="161"/>
      <c r="C49" s="161"/>
      <c r="D49" s="140"/>
      <c r="E49" s="94"/>
      <c r="F49" s="24"/>
      <c r="M49" s="362"/>
      <c r="O49" s="362"/>
    </row>
    <row r="50" spans="2:15" x14ac:dyDescent="0.25">
      <c r="B50" s="140" t="s">
        <v>147</v>
      </c>
      <c r="C50" s="140"/>
      <c r="D50" s="100"/>
      <c r="E50" s="45"/>
    </row>
    <row r="51" spans="2:15" x14ac:dyDescent="0.25">
      <c r="B51" s="140"/>
      <c r="C51" s="358" t="s">
        <v>145</v>
      </c>
      <c r="D51" s="100"/>
      <c r="E51" s="45"/>
    </row>
    <row r="52" spans="2:15" x14ac:dyDescent="0.25">
      <c r="B52" s="161"/>
      <c r="C52" s="140" t="s">
        <v>148</v>
      </c>
      <c r="D52" s="100"/>
      <c r="E52" s="45"/>
    </row>
  </sheetData>
  <mergeCells count="9">
    <mergeCell ref="L9:P9"/>
    <mergeCell ref="Q13:Q25"/>
    <mergeCell ref="B12:D12"/>
    <mergeCell ref="A9:A10"/>
    <mergeCell ref="B9:B10"/>
    <mergeCell ref="C9:C10"/>
    <mergeCell ref="D9:D10"/>
    <mergeCell ref="E9:E10"/>
    <mergeCell ref="F9:K9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rowBreaks count="1" manualBreakCount="1">
    <brk id="25" max="1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B092-8788-4CF2-A813-144BED8D0F3E}">
  <sheetPr>
    <tabColor rgb="FF92D050"/>
  </sheetPr>
  <dimension ref="A1:P52"/>
  <sheetViews>
    <sheetView view="pageBreakPreview" topLeftCell="A7" zoomScale="115" zoomScaleNormal="115" zoomScaleSheetLayoutView="115" workbookViewId="0">
      <selection activeCell="C25" sqref="C25"/>
    </sheetView>
  </sheetViews>
  <sheetFormatPr defaultColWidth="8.5703125" defaultRowHeight="11.25" x14ac:dyDescent="0.25"/>
  <cols>
    <col min="1" max="1" width="3.85546875" style="168" customWidth="1"/>
    <col min="2" max="2" width="2.85546875" style="88" customWidth="1"/>
    <col min="3" max="3" width="39.28515625" style="88" customWidth="1"/>
    <col min="4" max="4" width="7.140625" style="88" customWidth="1"/>
    <col min="5" max="6" width="5.7109375" style="88" customWidth="1"/>
    <col min="7" max="7" width="5.28515625" style="88" customWidth="1"/>
    <col min="8" max="8" width="6.5703125" style="88" customWidth="1"/>
    <col min="9" max="9" width="6" style="88" customWidth="1"/>
    <col min="10" max="10" width="5.85546875" style="88" customWidth="1"/>
    <col min="11" max="11" width="6.5703125" style="88" customWidth="1"/>
    <col min="12" max="12" width="7.140625" style="88" customWidth="1"/>
    <col min="13" max="13" width="9" style="88" customWidth="1"/>
    <col min="14" max="14" width="8" style="88" customWidth="1"/>
    <col min="15" max="15" width="6.7109375" style="88" customWidth="1"/>
    <col min="16" max="16" width="9" style="88" customWidth="1"/>
    <col min="17" max="16384" width="8.5703125" style="88"/>
  </cols>
  <sheetData>
    <row r="1" spans="1:16" s="4" customFormat="1" ht="12" thickBot="1" x14ac:dyDescent="0.3">
      <c r="A1" s="403"/>
      <c r="B1" s="62"/>
      <c r="C1" s="62"/>
      <c r="D1" s="62"/>
      <c r="E1" s="62"/>
      <c r="F1" s="191" t="s">
        <v>6</v>
      </c>
      <c r="G1" s="192">
        <f>KPDV!B36</f>
        <v>24</v>
      </c>
      <c r="H1" s="62"/>
      <c r="I1" s="62"/>
      <c r="J1" s="62"/>
      <c r="K1" s="62"/>
      <c r="L1" s="62"/>
    </row>
    <row r="2" spans="1:16" s="4" customFormat="1" x14ac:dyDescent="0.25">
      <c r="A2" s="403"/>
      <c r="B2" s="62"/>
      <c r="C2" s="43" t="s">
        <v>774</v>
      </c>
      <c r="D2" s="62"/>
      <c r="E2" s="62"/>
      <c r="F2" s="191"/>
      <c r="G2" s="193"/>
      <c r="H2" s="62"/>
      <c r="I2" s="62"/>
      <c r="J2" s="62"/>
      <c r="K2" s="62"/>
      <c r="L2" s="62"/>
    </row>
    <row r="3" spans="1:16" s="4" customFormat="1" x14ac:dyDescent="0.25">
      <c r="A3" s="190" t="str">
        <f>nos</f>
        <v>Būves nosaukums:  Dzīvojamās māja</v>
      </c>
      <c r="B3" s="62"/>
    </row>
    <row r="4" spans="1:16" s="4" customFormat="1" x14ac:dyDescent="0.25">
      <c r="A4" s="168" t="str">
        <f>obj</f>
        <v>Objekta nosaukums: Dzīvojamās ēkas fasādes vienkāršota atjaunošana</v>
      </c>
      <c r="B4" s="62"/>
    </row>
    <row r="5" spans="1:16" s="4" customFormat="1" x14ac:dyDescent="0.25">
      <c r="A5" s="168" t="str">
        <f>adres</f>
        <v>Objekta adrese: Aisteres iela 7, Liepājā</v>
      </c>
      <c r="B5" s="62"/>
    </row>
    <row r="6" spans="1:16" s="4" customFormat="1" ht="12" thickBot="1" x14ac:dyDescent="0.3">
      <c r="A6" s="168" t="str">
        <f>nr</f>
        <v>Pasūtījuma Nr.WS-41-17</v>
      </c>
      <c r="B6" s="62"/>
    </row>
    <row r="7" spans="1:16" s="360" customFormat="1" ht="23.25" thickBot="1" x14ac:dyDescent="0.3">
      <c r="A7" s="190"/>
      <c r="B7" s="7"/>
      <c r="C7" s="186" t="s">
        <v>695</v>
      </c>
      <c r="D7" s="171" t="s">
        <v>775</v>
      </c>
      <c r="E7" s="7" t="s">
        <v>143</v>
      </c>
      <c r="F7" s="7"/>
      <c r="G7" s="7"/>
      <c r="H7" s="7"/>
      <c r="I7" s="7"/>
      <c r="J7" s="7"/>
      <c r="K7" s="7"/>
      <c r="L7" s="7"/>
      <c r="M7" s="7"/>
      <c r="N7" s="7"/>
      <c r="O7" s="163" t="s">
        <v>144</v>
      </c>
      <c r="P7" s="194">
        <f>P43</f>
        <v>0</v>
      </c>
    </row>
    <row r="8" spans="1:16" s="4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62"/>
      <c r="N8" s="188"/>
      <c r="O8" s="189" t="str">
        <f>KPDV!C47</f>
        <v>Tāme sastādīta 201__. gada __.____________</v>
      </c>
      <c r="P8" s="43"/>
    </row>
    <row r="9" spans="1:16" x14ac:dyDescent="0.25">
      <c r="A9" s="830" t="s">
        <v>7</v>
      </c>
      <c r="B9" s="831" t="s">
        <v>8</v>
      </c>
      <c r="C9" s="868" t="s">
        <v>9</v>
      </c>
      <c r="D9" s="867" t="s">
        <v>51</v>
      </c>
      <c r="E9" s="866" t="s">
        <v>10</v>
      </c>
      <c r="F9" s="829" t="s">
        <v>133</v>
      </c>
      <c r="G9" s="829"/>
      <c r="H9" s="829"/>
      <c r="I9" s="829"/>
      <c r="J9" s="829"/>
      <c r="K9" s="829"/>
      <c r="L9" s="829" t="s">
        <v>134</v>
      </c>
      <c r="M9" s="829"/>
      <c r="N9" s="829"/>
      <c r="O9" s="829"/>
      <c r="P9" s="829"/>
    </row>
    <row r="10" spans="1:16" ht="68.25" x14ac:dyDescent="0.25">
      <c r="A10" s="830"/>
      <c r="B10" s="831"/>
      <c r="C10" s="868"/>
      <c r="D10" s="867"/>
      <c r="E10" s="866"/>
      <c r="F10" s="749" t="s">
        <v>135</v>
      </c>
      <c r="G10" s="749" t="s">
        <v>136</v>
      </c>
      <c r="H10" s="749" t="s">
        <v>137</v>
      </c>
      <c r="I10" s="749" t="s">
        <v>138</v>
      </c>
      <c r="J10" s="749" t="s">
        <v>139</v>
      </c>
      <c r="K10" s="749" t="s">
        <v>140</v>
      </c>
      <c r="L10" s="749" t="s">
        <v>141</v>
      </c>
      <c r="M10" s="749" t="s">
        <v>137</v>
      </c>
      <c r="N10" s="749" t="s">
        <v>138</v>
      </c>
      <c r="O10" s="749" t="s">
        <v>139</v>
      </c>
      <c r="P10" s="749" t="s">
        <v>140</v>
      </c>
    </row>
    <row r="11" spans="1:16" x14ac:dyDescent="0.25">
      <c r="A11" s="404">
        <v>1</v>
      </c>
      <c r="B11" s="233">
        <f>A11+1</f>
        <v>2</v>
      </c>
      <c r="C11" s="748">
        <f>B11+1</f>
        <v>3</v>
      </c>
      <c r="D11" s="233">
        <f>C11+1</f>
        <v>4</v>
      </c>
      <c r="E11" s="233">
        <f>D11+1</f>
        <v>5</v>
      </c>
      <c r="F11" s="234">
        <f t="shared" ref="F11:P11" si="0">E11+1</f>
        <v>6</v>
      </c>
      <c r="G11" s="234">
        <f t="shared" si="0"/>
        <v>7</v>
      </c>
      <c r="H11" s="234">
        <f t="shared" si="0"/>
        <v>8</v>
      </c>
      <c r="I11" s="234">
        <f t="shared" si="0"/>
        <v>9</v>
      </c>
      <c r="J11" s="234">
        <f t="shared" si="0"/>
        <v>10</v>
      </c>
      <c r="K11" s="234">
        <f t="shared" si="0"/>
        <v>11</v>
      </c>
      <c r="L11" s="234">
        <f t="shared" si="0"/>
        <v>12</v>
      </c>
      <c r="M11" s="234">
        <f t="shared" si="0"/>
        <v>13</v>
      </c>
      <c r="N11" s="234">
        <f t="shared" si="0"/>
        <v>14</v>
      </c>
      <c r="O11" s="234">
        <f t="shared" si="0"/>
        <v>15</v>
      </c>
      <c r="P11" s="234">
        <f t="shared" si="0"/>
        <v>16</v>
      </c>
    </row>
    <row r="12" spans="1:16" x14ac:dyDescent="0.25">
      <c r="A12" s="754"/>
      <c r="B12" s="881" t="s">
        <v>776</v>
      </c>
      <c r="C12" s="882"/>
      <c r="D12" s="882"/>
      <c r="E12" s="754"/>
      <c r="F12" s="712"/>
      <c r="G12" s="712"/>
      <c r="H12" s="712"/>
      <c r="I12" s="712"/>
      <c r="J12" s="712"/>
      <c r="K12" s="712"/>
      <c r="L12" s="712"/>
      <c r="M12" s="712"/>
      <c r="N12" s="712"/>
      <c r="O12" s="712"/>
      <c r="P12" s="712"/>
    </row>
    <row r="13" spans="1:16" s="110" customFormat="1" x14ac:dyDescent="0.25">
      <c r="A13" s="713">
        <v>1</v>
      </c>
      <c r="B13" s="713"/>
      <c r="C13" s="714" t="s">
        <v>777</v>
      </c>
      <c r="D13" s="713" t="s">
        <v>68</v>
      </c>
      <c r="E13" s="713">
        <v>1</v>
      </c>
      <c r="F13" s="715"/>
      <c r="G13" s="715"/>
      <c r="H13" s="715"/>
      <c r="I13" s="716"/>
      <c r="J13" s="716"/>
      <c r="K13" s="715"/>
      <c r="L13" s="715"/>
      <c r="M13" s="715"/>
      <c r="N13" s="715"/>
      <c r="O13" s="715"/>
      <c r="P13" s="715"/>
    </row>
    <row r="14" spans="1:16" s="110" customFormat="1" ht="22.5" x14ac:dyDescent="0.25">
      <c r="A14" s="713">
        <v>2</v>
      </c>
      <c r="B14" s="713"/>
      <c r="C14" s="714" t="s">
        <v>778</v>
      </c>
      <c r="D14" s="713" t="s">
        <v>68</v>
      </c>
      <c r="E14" s="713">
        <v>4</v>
      </c>
      <c r="F14" s="715"/>
      <c r="G14" s="715"/>
      <c r="H14" s="715"/>
      <c r="I14" s="716"/>
      <c r="J14" s="716"/>
      <c r="K14" s="715"/>
      <c r="L14" s="715"/>
      <c r="M14" s="715"/>
      <c r="N14" s="715"/>
      <c r="O14" s="715"/>
      <c r="P14" s="715"/>
    </row>
    <row r="15" spans="1:16" s="110" customFormat="1" ht="22.5" x14ac:dyDescent="0.25">
      <c r="A15" s="713">
        <v>3</v>
      </c>
      <c r="B15" s="713"/>
      <c r="C15" s="714" t="s">
        <v>779</v>
      </c>
      <c r="D15" s="713" t="s">
        <v>68</v>
      </c>
      <c r="E15" s="713">
        <v>2</v>
      </c>
      <c r="F15" s="715"/>
      <c r="G15" s="715"/>
      <c r="H15" s="715"/>
      <c r="I15" s="716"/>
      <c r="J15" s="716"/>
      <c r="K15" s="715"/>
      <c r="L15" s="715"/>
      <c r="M15" s="715"/>
      <c r="N15" s="715"/>
      <c r="O15" s="715"/>
      <c r="P15" s="715"/>
    </row>
    <row r="16" spans="1:16" s="110" customFormat="1" ht="22.5" x14ac:dyDescent="0.25">
      <c r="A16" s="713">
        <v>4</v>
      </c>
      <c r="B16" s="713"/>
      <c r="C16" s="714" t="s">
        <v>780</v>
      </c>
      <c r="D16" s="713" t="s">
        <v>68</v>
      </c>
      <c r="E16" s="713">
        <v>4</v>
      </c>
      <c r="F16" s="715"/>
      <c r="G16" s="715"/>
      <c r="H16" s="715"/>
      <c r="I16" s="716"/>
      <c r="J16" s="716"/>
      <c r="K16" s="715"/>
      <c r="L16" s="715"/>
      <c r="M16" s="715"/>
      <c r="N16" s="715"/>
      <c r="O16" s="715"/>
      <c r="P16" s="715"/>
    </row>
    <row r="17" spans="1:16" s="110" customFormat="1" ht="22.5" x14ac:dyDescent="0.25">
      <c r="A17" s="713">
        <v>5</v>
      </c>
      <c r="B17" s="713"/>
      <c r="C17" s="714" t="s">
        <v>781</v>
      </c>
      <c r="D17" s="713" t="s">
        <v>68</v>
      </c>
      <c r="E17" s="713">
        <v>2</v>
      </c>
      <c r="F17" s="715"/>
      <c r="G17" s="715"/>
      <c r="H17" s="715"/>
      <c r="I17" s="716"/>
      <c r="J17" s="716"/>
      <c r="K17" s="715"/>
      <c r="L17" s="715"/>
      <c r="M17" s="715"/>
      <c r="N17" s="715"/>
      <c r="O17" s="715"/>
      <c r="P17" s="715"/>
    </row>
    <row r="18" spans="1:16" s="110" customFormat="1" ht="22.5" x14ac:dyDescent="0.25">
      <c r="A18" s="713">
        <v>6</v>
      </c>
      <c r="B18" s="713"/>
      <c r="C18" s="714" t="s">
        <v>782</v>
      </c>
      <c r="D18" s="713" t="s">
        <v>68</v>
      </c>
      <c r="E18" s="713">
        <v>2</v>
      </c>
      <c r="F18" s="715"/>
      <c r="G18" s="715"/>
      <c r="H18" s="715"/>
      <c r="I18" s="716"/>
      <c r="J18" s="716"/>
      <c r="K18" s="715"/>
      <c r="L18" s="715"/>
      <c r="M18" s="715"/>
      <c r="N18" s="715"/>
      <c r="O18" s="715"/>
      <c r="P18" s="715"/>
    </row>
    <row r="19" spans="1:16" x14ac:dyDescent="0.25">
      <c r="A19" s="713">
        <v>7</v>
      </c>
      <c r="B19" s="713"/>
      <c r="C19" s="714" t="s">
        <v>783</v>
      </c>
      <c r="D19" s="713" t="s">
        <v>16</v>
      </c>
      <c r="E19" s="713">
        <v>150</v>
      </c>
      <c r="F19" s="715"/>
      <c r="G19" s="715"/>
      <c r="H19" s="715"/>
      <c r="I19" s="716"/>
      <c r="J19" s="716"/>
      <c r="K19" s="715"/>
      <c r="L19" s="715"/>
      <c r="M19" s="715"/>
      <c r="N19" s="715"/>
      <c r="O19" s="715"/>
      <c r="P19" s="715"/>
    </row>
    <row r="20" spans="1:16" x14ac:dyDescent="0.25">
      <c r="A20" s="713">
        <v>8</v>
      </c>
      <c r="B20" s="713"/>
      <c r="C20" s="714" t="s">
        <v>784</v>
      </c>
      <c r="D20" s="713" t="s">
        <v>16</v>
      </c>
      <c r="E20" s="713">
        <v>100</v>
      </c>
      <c r="F20" s="715"/>
      <c r="G20" s="715"/>
      <c r="H20" s="715"/>
      <c r="I20" s="716"/>
      <c r="J20" s="716"/>
      <c r="K20" s="715"/>
      <c r="L20" s="715"/>
      <c r="M20" s="715"/>
      <c r="N20" s="715"/>
      <c r="O20" s="715"/>
      <c r="P20" s="715"/>
    </row>
    <row r="21" spans="1:16" x14ac:dyDescent="0.25">
      <c r="A21" s="713">
        <v>9</v>
      </c>
      <c r="B21" s="713"/>
      <c r="C21" s="714" t="s">
        <v>785</v>
      </c>
      <c r="D21" s="713" t="s">
        <v>16</v>
      </c>
      <c r="E21" s="713">
        <v>100</v>
      </c>
      <c r="F21" s="715"/>
      <c r="G21" s="715"/>
      <c r="H21" s="715"/>
      <c r="I21" s="716"/>
      <c r="J21" s="716"/>
      <c r="K21" s="715"/>
      <c r="L21" s="715"/>
      <c r="M21" s="715"/>
      <c r="N21" s="715"/>
      <c r="O21" s="715"/>
      <c r="P21" s="715"/>
    </row>
    <row r="22" spans="1:16" x14ac:dyDescent="0.25">
      <c r="A22" s="713">
        <v>10</v>
      </c>
      <c r="B22" s="713"/>
      <c r="C22" s="714" t="s">
        <v>915</v>
      </c>
      <c r="D22" s="713" t="s">
        <v>16</v>
      </c>
      <c r="E22" s="713">
        <v>90</v>
      </c>
      <c r="F22" s="715"/>
      <c r="G22" s="715"/>
      <c r="H22" s="715"/>
      <c r="I22" s="716"/>
      <c r="J22" s="716"/>
      <c r="K22" s="715"/>
      <c r="L22" s="715"/>
      <c r="M22" s="715"/>
      <c r="N22" s="715"/>
      <c r="O22" s="715"/>
      <c r="P22" s="715"/>
    </row>
    <row r="23" spans="1:16" s="110" customFormat="1" x14ac:dyDescent="0.25">
      <c r="A23" s="713">
        <v>11</v>
      </c>
      <c r="B23" s="713"/>
      <c r="C23" s="714" t="s">
        <v>786</v>
      </c>
      <c r="D23" s="713" t="s">
        <v>16</v>
      </c>
      <c r="E23" s="713">
        <v>50</v>
      </c>
      <c r="F23" s="715"/>
      <c r="G23" s="715"/>
      <c r="H23" s="715"/>
      <c r="I23" s="716"/>
      <c r="J23" s="716"/>
      <c r="K23" s="715"/>
      <c r="L23" s="715"/>
      <c r="M23" s="715"/>
      <c r="N23" s="715"/>
      <c r="O23" s="715"/>
      <c r="P23" s="715"/>
    </row>
    <row r="24" spans="1:16" s="110" customFormat="1" x14ac:dyDescent="0.25">
      <c r="A24" s="713">
        <v>12</v>
      </c>
      <c r="B24" s="713"/>
      <c r="C24" s="714" t="s">
        <v>787</v>
      </c>
      <c r="D24" s="713" t="s">
        <v>788</v>
      </c>
      <c r="E24" s="713">
        <v>100</v>
      </c>
      <c r="F24" s="715"/>
      <c r="G24" s="715"/>
      <c r="H24" s="715"/>
      <c r="I24" s="716"/>
      <c r="J24" s="716"/>
      <c r="K24" s="715"/>
      <c r="L24" s="715"/>
      <c r="M24" s="715"/>
      <c r="N24" s="715"/>
      <c r="O24" s="715"/>
      <c r="P24" s="715"/>
    </row>
    <row r="25" spans="1:16" s="110" customFormat="1" x14ac:dyDescent="0.25">
      <c r="A25" s="713">
        <v>13</v>
      </c>
      <c r="B25" s="713"/>
      <c r="C25" s="714" t="s">
        <v>789</v>
      </c>
      <c r="D25" s="713" t="s">
        <v>788</v>
      </c>
      <c r="E25" s="713">
        <v>90</v>
      </c>
      <c r="F25" s="715"/>
      <c r="G25" s="715"/>
      <c r="H25" s="715"/>
      <c r="I25" s="716"/>
      <c r="J25" s="716"/>
      <c r="K25" s="715"/>
      <c r="L25" s="715"/>
      <c r="M25" s="715"/>
      <c r="N25" s="715"/>
      <c r="O25" s="715"/>
      <c r="P25" s="715"/>
    </row>
    <row r="26" spans="1:16" x14ac:dyDescent="0.25">
      <c r="A26" s="713">
        <v>14</v>
      </c>
      <c r="B26" s="713"/>
      <c r="C26" s="714" t="s">
        <v>790</v>
      </c>
      <c r="D26" s="713" t="s">
        <v>201</v>
      </c>
      <c r="E26" s="713">
        <v>15</v>
      </c>
      <c r="F26" s="715"/>
      <c r="G26" s="715"/>
      <c r="H26" s="715"/>
      <c r="I26" s="716"/>
      <c r="J26" s="716"/>
      <c r="K26" s="715"/>
      <c r="L26" s="715"/>
      <c r="M26" s="715"/>
      <c r="N26" s="715"/>
      <c r="O26" s="715"/>
      <c r="P26" s="715"/>
    </row>
    <row r="27" spans="1:16" x14ac:dyDescent="0.25">
      <c r="A27" s="713">
        <v>15</v>
      </c>
      <c r="B27" s="713"/>
      <c r="C27" s="714" t="s">
        <v>791</v>
      </c>
      <c r="D27" s="713" t="s">
        <v>201</v>
      </c>
      <c r="E27" s="713">
        <v>5</v>
      </c>
      <c r="F27" s="715"/>
      <c r="G27" s="715"/>
      <c r="H27" s="715"/>
      <c r="I27" s="716"/>
      <c r="J27" s="716"/>
      <c r="K27" s="715"/>
      <c r="L27" s="715"/>
      <c r="M27" s="715"/>
      <c r="N27" s="715"/>
      <c r="O27" s="715"/>
      <c r="P27" s="715"/>
    </row>
    <row r="28" spans="1:16" x14ac:dyDescent="0.25">
      <c r="A28" s="713">
        <v>16</v>
      </c>
      <c r="B28" s="713"/>
      <c r="C28" s="714" t="s">
        <v>792</v>
      </c>
      <c r="D28" s="713" t="s">
        <v>201</v>
      </c>
      <c r="E28" s="713">
        <v>10</v>
      </c>
      <c r="F28" s="715"/>
      <c r="G28" s="715"/>
      <c r="H28" s="715"/>
      <c r="I28" s="716"/>
      <c r="J28" s="716"/>
      <c r="K28" s="715"/>
      <c r="L28" s="715"/>
      <c r="M28" s="715"/>
      <c r="N28" s="715"/>
      <c r="O28" s="715"/>
      <c r="P28" s="715"/>
    </row>
    <row r="29" spans="1:16" x14ac:dyDescent="0.25">
      <c r="A29" s="713">
        <v>17</v>
      </c>
      <c r="B29" s="713"/>
      <c r="C29" s="714" t="s">
        <v>793</v>
      </c>
      <c r="D29" s="713" t="s">
        <v>201</v>
      </c>
      <c r="E29" s="713">
        <v>5</v>
      </c>
      <c r="F29" s="715"/>
      <c r="G29" s="715"/>
      <c r="H29" s="715"/>
      <c r="I29" s="716"/>
      <c r="J29" s="716"/>
      <c r="K29" s="715"/>
      <c r="L29" s="715"/>
      <c r="M29" s="715"/>
      <c r="N29" s="715"/>
      <c r="O29" s="715"/>
      <c r="P29" s="715"/>
    </row>
    <row r="30" spans="1:16" x14ac:dyDescent="0.25">
      <c r="A30" s="713">
        <v>18</v>
      </c>
      <c r="B30" s="713"/>
      <c r="C30" s="714" t="s">
        <v>794</v>
      </c>
      <c r="D30" s="713" t="s">
        <v>788</v>
      </c>
      <c r="E30" s="713">
        <v>5</v>
      </c>
      <c r="F30" s="715"/>
      <c r="G30" s="715"/>
      <c r="H30" s="715"/>
      <c r="I30" s="716"/>
      <c r="J30" s="716"/>
      <c r="K30" s="715"/>
      <c r="L30" s="715"/>
      <c r="M30" s="715"/>
      <c r="N30" s="715"/>
      <c r="O30" s="715"/>
      <c r="P30" s="715"/>
    </row>
    <row r="31" spans="1:16" x14ac:dyDescent="0.25">
      <c r="A31" s="713">
        <v>19</v>
      </c>
      <c r="B31" s="713"/>
      <c r="C31" s="714" t="s">
        <v>795</v>
      </c>
      <c r="D31" s="713" t="s">
        <v>788</v>
      </c>
      <c r="E31" s="713">
        <v>12</v>
      </c>
      <c r="F31" s="715"/>
      <c r="G31" s="715"/>
      <c r="H31" s="715"/>
      <c r="I31" s="716"/>
      <c r="J31" s="716"/>
      <c r="K31" s="715"/>
      <c r="L31" s="715"/>
      <c r="M31" s="715"/>
      <c r="N31" s="715"/>
      <c r="O31" s="715"/>
      <c r="P31" s="715"/>
    </row>
    <row r="32" spans="1:16" x14ac:dyDescent="0.25">
      <c r="A32" s="713">
        <v>20</v>
      </c>
      <c r="B32" s="713"/>
      <c r="C32" s="714" t="s">
        <v>796</v>
      </c>
      <c r="D32" s="713" t="s">
        <v>16</v>
      </c>
      <c r="E32" s="713">
        <v>110</v>
      </c>
      <c r="F32" s="715"/>
      <c r="G32" s="715"/>
      <c r="H32" s="715"/>
      <c r="I32" s="716"/>
      <c r="J32" s="716"/>
      <c r="K32" s="715"/>
      <c r="L32" s="715"/>
      <c r="M32" s="715"/>
      <c r="N32" s="715"/>
      <c r="O32" s="715"/>
      <c r="P32" s="715"/>
    </row>
    <row r="33" spans="1:16" x14ac:dyDescent="0.25">
      <c r="A33" s="713">
        <v>21</v>
      </c>
      <c r="B33" s="713"/>
      <c r="C33" s="714" t="s">
        <v>797</v>
      </c>
      <c r="D33" s="713" t="s">
        <v>68</v>
      </c>
      <c r="E33" s="713">
        <v>1</v>
      </c>
      <c r="F33" s="715"/>
      <c r="G33" s="715"/>
      <c r="H33" s="715"/>
      <c r="I33" s="716"/>
      <c r="J33" s="716"/>
      <c r="K33" s="715"/>
      <c r="L33" s="715"/>
      <c r="M33" s="715"/>
      <c r="N33" s="715"/>
      <c r="O33" s="715"/>
      <c r="P33" s="715"/>
    </row>
    <row r="34" spans="1:16" x14ac:dyDescent="0.25">
      <c r="A34" s="713">
        <v>22</v>
      </c>
      <c r="B34" s="713"/>
      <c r="C34" s="714" t="s">
        <v>798</v>
      </c>
      <c r="D34" s="713" t="s">
        <v>201</v>
      </c>
      <c r="E34" s="713">
        <v>15</v>
      </c>
      <c r="F34" s="715"/>
      <c r="G34" s="715"/>
      <c r="H34" s="715"/>
      <c r="I34" s="716"/>
      <c r="J34" s="716"/>
      <c r="K34" s="715"/>
      <c r="L34" s="715"/>
      <c r="M34" s="715"/>
      <c r="N34" s="715"/>
      <c r="O34" s="715"/>
      <c r="P34" s="715"/>
    </row>
    <row r="35" spans="1:16" ht="22.5" x14ac:dyDescent="0.25">
      <c r="A35" s="713">
        <v>23</v>
      </c>
      <c r="B35" s="713"/>
      <c r="C35" s="714" t="s">
        <v>799</v>
      </c>
      <c r="D35" s="713" t="s">
        <v>68</v>
      </c>
      <c r="E35" s="713">
        <v>1</v>
      </c>
      <c r="F35" s="715"/>
      <c r="G35" s="715"/>
      <c r="H35" s="715"/>
      <c r="I35" s="716"/>
      <c r="J35" s="716"/>
      <c r="K35" s="715"/>
      <c r="L35" s="715"/>
      <c r="M35" s="715"/>
      <c r="N35" s="715"/>
      <c r="O35" s="715"/>
      <c r="P35" s="715"/>
    </row>
    <row r="36" spans="1:16" x14ac:dyDescent="0.25">
      <c r="A36" s="713">
        <v>24</v>
      </c>
      <c r="B36" s="713"/>
      <c r="C36" s="714" t="s">
        <v>800</v>
      </c>
      <c r="D36" s="713" t="s">
        <v>68</v>
      </c>
      <c r="E36" s="713">
        <v>1</v>
      </c>
      <c r="F36" s="715"/>
      <c r="G36" s="715"/>
      <c r="H36" s="715"/>
      <c r="I36" s="716"/>
      <c r="J36" s="716"/>
      <c r="K36" s="715"/>
      <c r="L36" s="715"/>
      <c r="M36" s="715"/>
      <c r="N36" s="715"/>
      <c r="O36" s="715"/>
      <c r="P36" s="715"/>
    </row>
    <row r="37" spans="1:16" x14ac:dyDescent="0.25">
      <c r="A37" s="713">
        <v>25</v>
      </c>
      <c r="B37" s="713"/>
      <c r="C37" s="714" t="s">
        <v>801</v>
      </c>
      <c r="D37" s="713" t="s">
        <v>68</v>
      </c>
      <c r="E37" s="713">
        <v>1</v>
      </c>
      <c r="F37" s="715"/>
      <c r="G37" s="715"/>
      <c r="H37" s="715"/>
      <c r="I37" s="716"/>
      <c r="J37" s="716"/>
      <c r="K37" s="715"/>
      <c r="L37" s="715"/>
      <c r="M37" s="715"/>
      <c r="N37" s="715"/>
      <c r="O37" s="715"/>
      <c r="P37" s="715"/>
    </row>
    <row r="38" spans="1:16" x14ac:dyDescent="0.25">
      <c r="A38" s="713">
        <v>26</v>
      </c>
      <c r="B38" s="713"/>
      <c r="C38" s="714" t="s">
        <v>802</v>
      </c>
      <c r="D38" s="713" t="s">
        <v>68</v>
      </c>
      <c r="E38" s="713">
        <v>14</v>
      </c>
      <c r="F38" s="715"/>
      <c r="G38" s="715"/>
      <c r="H38" s="715"/>
      <c r="I38" s="716"/>
      <c r="J38" s="716"/>
      <c r="K38" s="715"/>
      <c r="L38" s="715"/>
      <c r="M38" s="715"/>
      <c r="N38" s="715"/>
      <c r="O38" s="715"/>
      <c r="P38" s="715"/>
    </row>
    <row r="39" spans="1:16" x14ac:dyDescent="0.25">
      <c r="A39" s="713">
        <v>27</v>
      </c>
      <c r="B39" s="713"/>
      <c r="C39" s="714" t="s">
        <v>803</v>
      </c>
      <c r="D39" s="713" t="s">
        <v>17</v>
      </c>
      <c r="E39" s="713">
        <v>55</v>
      </c>
      <c r="F39" s="715"/>
      <c r="G39" s="715"/>
      <c r="H39" s="715"/>
      <c r="I39" s="716"/>
      <c r="J39" s="716"/>
      <c r="K39" s="715"/>
      <c r="L39" s="715"/>
      <c r="M39" s="715"/>
      <c r="N39" s="715"/>
      <c r="O39" s="715"/>
      <c r="P39" s="715"/>
    </row>
    <row r="40" spans="1:16" x14ac:dyDescent="0.25">
      <c r="A40" s="713">
        <v>28</v>
      </c>
      <c r="B40" s="713"/>
      <c r="C40" s="714" t="s">
        <v>804</v>
      </c>
      <c r="D40" s="713" t="s">
        <v>68</v>
      </c>
      <c r="E40" s="713">
        <v>1</v>
      </c>
      <c r="F40" s="715"/>
      <c r="G40" s="715"/>
      <c r="H40" s="715"/>
      <c r="I40" s="716"/>
      <c r="J40" s="716"/>
      <c r="K40" s="715"/>
      <c r="L40" s="715"/>
      <c r="M40" s="715"/>
      <c r="N40" s="715"/>
      <c r="O40" s="715"/>
      <c r="P40" s="715"/>
    </row>
    <row r="41" spans="1:16" x14ac:dyDescent="0.25">
      <c r="A41" s="713">
        <v>29</v>
      </c>
      <c r="B41" s="713"/>
      <c r="C41" s="714" t="s">
        <v>805</v>
      </c>
      <c r="D41" s="713" t="s">
        <v>68</v>
      </c>
      <c r="E41" s="713">
        <v>1</v>
      </c>
      <c r="F41" s="715"/>
      <c r="G41" s="715"/>
      <c r="H41" s="715"/>
      <c r="I41" s="716"/>
      <c r="J41" s="716"/>
      <c r="K41" s="715"/>
      <c r="L41" s="715"/>
      <c r="M41" s="715"/>
      <c r="N41" s="715"/>
      <c r="O41" s="715"/>
      <c r="P41" s="715"/>
    </row>
    <row r="42" spans="1:16" x14ac:dyDescent="0.25">
      <c r="A42" s="407"/>
      <c r="B42" s="115"/>
      <c r="C42" s="363"/>
      <c r="D42" s="114"/>
      <c r="E42" s="114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</row>
    <row r="43" spans="1:16" ht="22.5" x14ac:dyDescent="0.25">
      <c r="A43" s="405"/>
      <c r="B43" s="117"/>
      <c r="C43" s="217" t="s">
        <v>179</v>
      </c>
      <c r="D43" s="162"/>
      <c r="E43" s="162"/>
      <c r="F43" s="17"/>
      <c r="G43" s="17"/>
      <c r="H43" s="17"/>
      <c r="I43" s="17"/>
      <c r="J43" s="17"/>
      <c r="K43" s="17"/>
      <c r="L43" s="20">
        <f>SUM(L12:L41)</f>
        <v>0</v>
      </c>
      <c r="M43" s="20">
        <f t="shared" ref="M43:P43" si="1">SUM(M12:M41)</f>
        <v>0</v>
      </c>
      <c r="N43" s="20">
        <f t="shared" si="1"/>
        <v>0</v>
      </c>
      <c r="O43" s="20">
        <f t="shared" si="1"/>
        <v>0</v>
      </c>
      <c r="P43" s="20">
        <f t="shared" si="1"/>
        <v>0</v>
      </c>
    </row>
    <row r="44" spans="1:16" x14ac:dyDescent="0.25">
      <c r="A44" s="406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</row>
    <row r="45" spans="1:16" x14ac:dyDescent="0.25">
      <c r="A45" s="406"/>
      <c r="B45" s="140" t="str">
        <f>sas</f>
        <v>Sastādīja:</v>
      </c>
      <c r="C45" s="140"/>
      <c r="D45" s="94"/>
      <c r="E45" s="94"/>
      <c r="F45" s="137"/>
      <c r="G45" s="110"/>
      <c r="H45" s="110"/>
      <c r="I45" s="110"/>
      <c r="J45" s="110"/>
      <c r="K45" s="110"/>
      <c r="L45" s="110"/>
      <c r="M45" s="110"/>
      <c r="N45" s="110"/>
      <c r="O45" s="110"/>
      <c r="P45" s="110"/>
    </row>
    <row r="46" spans="1:16" x14ac:dyDescent="0.25">
      <c r="A46" s="406"/>
      <c r="B46" s="140"/>
      <c r="C46" s="358" t="s">
        <v>145</v>
      </c>
      <c r="D46" s="140"/>
      <c r="E46" s="94"/>
      <c r="F46" s="138"/>
      <c r="G46" s="110"/>
      <c r="H46" s="110"/>
      <c r="I46" s="110"/>
      <c r="J46" s="110"/>
      <c r="K46" s="110"/>
      <c r="L46" s="110"/>
      <c r="M46" s="110"/>
      <c r="N46" s="110"/>
      <c r="O46" s="110"/>
      <c r="P46" s="110"/>
    </row>
    <row r="47" spans="1:16" x14ac:dyDescent="0.25">
      <c r="A47" s="406"/>
      <c r="B47" s="161"/>
      <c r="C47" s="161"/>
      <c r="D47" s="140"/>
      <c r="E47" s="94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</row>
    <row r="48" spans="1:16" x14ac:dyDescent="0.25">
      <c r="B48" s="140" t="str">
        <f>dat</f>
        <v>Tāme sastādīta 201__. gada __.____________</v>
      </c>
      <c r="C48" s="140"/>
      <c r="D48" s="140"/>
      <c r="E48" s="94"/>
      <c r="F48" s="137"/>
    </row>
    <row r="49" spans="2:15" x14ac:dyDescent="0.25">
      <c r="B49" s="161"/>
      <c r="C49" s="161"/>
      <c r="D49" s="140"/>
      <c r="E49" s="94"/>
      <c r="F49" s="24"/>
      <c r="M49" s="362"/>
      <c r="O49" s="362"/>
    </row>
    <row r="50" spans="2:15" x14ac:dyDescent="0.25">
      <c r="B50" s="140" t="s">
        <v>147</v>
      </c>
      <c r="C50" s="140"/>
      <c r="D50" s="100"/>
      <c r="E50" s="45"/>
    </row>
    <row r="51" spans="2:15" x14ac:dyDescent="0.25">
      <c r="B51" s="140"/>
      <c r="C51" s="358" t="s">
        <v>145</v>
      </c>
      <c r="D51" s="100"/>
      <c r="E51" s="45"/>
    </row>
    <row r="52" spans="2:15" x14ac:dyDescent="0.25">
      <c r="B52" s="161"/>
      <c r="C52" s="140" t="s">
        <v>148</v>
      </c>
      <c r="D52" s="100"/>
      <c r="E52" s="45"/>
    </row>
  </sheetData>
  <mergeCells count="8">
    <mergeCell ref="L9:P9"/>
    <mergeCell ref="B12:D12"/>
    <mergeCell ref="A9:A10"/>
    <mergeCell ref="B9:B10"/>
    <mergeCell ref="C9:C10"/>
    <mergeCell ref="D9:D10"/>
    <mergeCell ref="E9:E10"/>
    <mergeCell ref="F9:K9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rowBreaks count="1" manualBreakCount="1">
    <brk id="2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52"/>
  <sheetViews>
    <sheetView view="pageBreakPreview" zoomScale="85" zoomScaleNormal="110" zoomScaleSheetLayoutView="85" workbookViewId="0">
      <selection activeCell="C44" sqref="C44"/>
    </sheetView>
  </sheetViews>
  <sheetFormatPr defaultColWidth="8.5703125" defaultRowHeight="10.5" x14ac:dyDescent="0.25"/>
  <cols>
    <col min="1" max="1" width="8.5703125" style="416" customWidth="1"/>
    <col min="2" max="2" width="8.5703125" style="147" customWidth="1"/>
    <col min="3" max="3" width="40.85546875" style="147" bestFit="1" customWidth="1"/>
    <col min="4" max="4" width="10" style="147" customWidth="1"/>
    <col min="5" max="8" width="10.42578125" style="147" customWidth="1"/>
    <col min="9" max="233" width="8.5703125" style="147"/>
    <col min="234" max="234" width="8.5703125" style="147" customWidth="1"/>
    <col min="235" max="235" width="40.85546875" style="147" bestFit="1" customWidth="1"/>
    <col min="236" max="240" width="12.42578125" style="147" customWidth="1"/>
    <col min="241" max="241" width="10.5703125" style="147" bestFit="1" customWidth="1"/>
    <col min="242" max="242" width="1.5703125" style="147" customWidth="1"/>
    <col min="243" max="16384" width="8.5703125" style="147"/>
  </cols>
  <sheetData>
    <row r="1" spans="1:9" ht="11.25" x14ac:dyDescent="0.25">
      <c r="A1" s="827" t="s">
        <v>55</v>
      </c>
      <c r="B1" s="827"/>
      <c r="C1" s="827"/>
      <c r="D1" s="827"/>
      <c r="E1" s="827"/>
      <c r="F1" s="827"/>
      <c r="G1" s="827"/>
      <c r="H1" s="827"/>
    </row>
    <row r="2" spans="1:9" ht="11.25" x14ac:dyDescent="0.25">
      <c r="A2" s="63"/>
      <c r="B2" s="826" t="s">
        <v>157</v>
      </c>
      <c r="C2" s="826"/>
      <c r="D2" s="826"/>
      <c r="E2" s="826"/>
      <c r="F2" s="826"/>
      <c r="G2" s="826"/>
      <c r="H2" s="826"/>
    </row>
    <row r="3" spans="1:9" ht="11.25" x14ac:dyDescent="0.25">
      <c r="A3" s="267" t="s">
        <v>109</v>
      </c>
      <c r="B3" s="134"/>
      <c r="C3" s="724"/>
      <c r="D3" s="724"/>
      <c r="E3" s="724"/>
      <c r="F3" s="724"/>
      <c r="G3" s="724"/>
      <c r="H3" s="724"/>
    </row>
    <row r="4" spans="1:9" ht="11.25" x14ac:dyDescent="0.25">
      <c r="A4" s="403" t="s">
        <v>125</v>
      </c>
      <c r="B4" s="62"/>
      <c r="C4" s="724"/>
      <c r="D4" s="63"/>
      <c r="E4" s="63"/>
      <c r="F4" s="724"/>
      <c r="G4" s="724"/>
      <c r="H4" s="724"/>
    </row>
    <row r="5" spans="1:9" ht="11.25" x14ac:dyDescent="0.25">
      <c r="A5" s="403" t="s">
        <v>126</v>
      </c>
      <c r="B5" s="62"/>
      <c r="C5" s="62"/>
      <c r="D5" s="62"/>
      <c r="E5" s="62"/>
      <c r="F5" s="62"/>
      <c r="G5" s="62"/>
      <c r="H5" s="156"/>
    </row>
    <row r="6" spans="1:9" ht="11.25" x14ac:dyDescent="0.25">
      <c r="A6" s="403" t="s">
        <v>241</v>
      </c>
      <c r="B6" s="62"/>
      <c r="C6" s="4"/>
      <c r="D6" s="157"/>
      <c r="E6" s="4"/>
      <c r="F6" s="4"/>
      <c r="G6" s="88"/>
      <c r="H6" s="4"/>
    </row>
    <row r="7" spans="1:9" ht="11.25" x14ac:dyDescent="0.25">
      <c r="A7" s="403" t="s">
        <v>242</v>
      </c>
      <c r="B7" s="62"/>
      <c r="C7" s="4"/>
      <c r="D7" s="157"/>
      <c r="E7" s="4"/>
      <c r="F7" s="4"/>
      <c r="G7" s="88"/>
      <c r="H7" s="4"/>
    </row>
    <row r="8" spans="1:9" ht="11.25" x14ac:dyDescent="0.25">
      <c r="C8" s="7"/>
      <c r="D8" s="7"/>
      <c r="E8" s="7"/>
      <c r="F8" s="7"/>
      <c r="G8" s="182"/>
      <c r="H8" s="158"/>
    </row>
    <row r="9" spans="1:9" ht="11.25" x14ac:dyDescent="0.25">
      <c r="A9" s="143"/>
      <c r="B9" s="140"/>
      <c r="C9" s="165" t="s">
        <v>149</v>
      </c>
      <c r="D9" s="734"/>
      <c r="E9" s="75"/>
      <c r="F9" s="140"/>
      <c r="G9" s="140"/>
      <c r="H9" s="140"/>
    </row>
    <row r="10" spans="1:9" ht="11.25" x14ac:dyDescent="0.25">
      <c r="A10" s="143"/>
      <c r="B10" s="140"/>
      <c r="C10" s="164" t="s">
        <v>150</v>
      </c>
      <c r="D10" s="689"/>
      <c r="E10" s="75"/>
      <c r="F10" s="140"/>
      <c r="G10" s="140"/>
      <c r="H10" s="140"/>
    </row>
    <row r="11" spans="1:9" ht="11.25" x14ac:dyDescent="0.25">
      <c r="A11" s="824" t="s">
        <v>7</v>
      </c>
      <c r="B11" s="824" t="s">
        <v>151</v>
      </c>
      <c r="C11" s="828" t="s">
        <v>152</v>
      </c>
      <c r="E11" s="824" t="s">
        <v>56</v>
      </c>
      <c r="F11" s="825" t="s">
        <v>57</v>
      </c>
      <c r="G11" s="825"/>
      <c r="H11" s="825"/>
      <c r="I11" s="824" t="s">
        <v>153</v>
      </c>
    </row>
    <row r="12" spans="1:9" ht="22.5" x14ac:dyDescent="0.25">
      <c r="A12" s="824"/>
      <c r="B12" s="824"/>
      <c r="C12" s="828"/>
      <c r="E12" s="824"/>
      <c r="F12" s="725" t="s">
        <v>154</v>
      </c>
      <c r="G12" s="725" t="s">
        <v>155</v>
      </c>
      <c r="H12" s="725" t="s">
        <v>156</v>
      </c>
      <c r="I12" s="824"/>
    </row>
    <row r="13" spans="1:9" ht="11.25" x14ac:dyDescent="0.25">
      <c r="A13" s="57">
        <v>1</v>
      </c>
      <c r="B13" s="57">
        <f>A13</f>
        <v>1</v>
      </c>
      <c r="C13" s="159" t="str">
        <f>'AR1'!C2</f>
        <v>Ārsienu siltināšanas darbi ēkā nr.1</v>
      </c>
      <c r="E13" s="65">
        <f>'AR1'!M77</f>
        <v>0</v>
      </c>
      <c r="F13" s="65">
        <f>'AR1'!N77</f>
        <v>0</v>
      </c>
      <c r="G13" s="65">
        <f>'AR1'!O77</f>
        <v>0</v>
      </c>
      <c r="H13" s="65">
        <f>'AR1'!P77</f>
        <v>0</v>
      </c>
      <c r="I13" s="65">
        <f>'AR1'!Q77</f>
        <v>0</v>
      </c>
    </row>
    <row r="14" spans="1:9" ht="11.25" x14ac:dyDescent="0.25">
      <c r="A14" s="57">
        <f>A13+1</f>
        <v>2</v>
      </c>
      <c r="B14" s="57">
        <f>A14</f>
        <v>2</v>
      </c>
      <c r="C14" s="159" t="str">
        <f>'AR2'!C2</f>
        <v>Ārsienu siltināšanas darbi ēkā nr.2</v>
      </c>
      <c r="E14" s="65">
        <f>'AR2'!M77</f>
        <v>0</v>
      </c>
      <c r="F14" s="65">
        <f>'AR2'!N77</f>
        <v>0</v>
      </c>
      <c r="G14" s="65">
        <f>'AR2'!O77</f>
        <v>0</v>
      </c>
      <c r="H14" s="65">
        <f>'AR2'!P77</f>
        <v>0</v>
      </c>
      <c r="I14" s="65">
        <f>'AR2'!Q77</f>
        <v>0</v>
      </c>
    </row>
    <row r="15" spans="1:9" ht="11.25" x14ac:dyDescent="0.25">
      <c r="A15" s="57">
        <f t="shared" ref="A15:A36" si="0">A14+1</f>
        <v>3</v>
      </c>
      <c r="B15" s="57">
        <f t="shared" ref="B15:B34" si="1">A15</f>
        <v>3</v>
      </c>
      <c r="C15" s="381" t="str">
        <f>'L1'!C2</f>
        <v>Logu nomaiņa, tsk. Lodžijas ēkā nr.1</v>
      </c>
      <c r="E15" s="65">
        <f>'L1'!P90</f>
        <v>0</v>
      </c>
      <c r="F15" s="65">
        <f>'L1'!Q90</f>
        <v>0</v>
      </c>
      <c r="G15" s="65">
        <f>'L1'!R90</f>
        <v>0</v>
      </c>
      <c r="H15" s="65">
        <f>'L1'!S90</f>
        <v>0</v>
      </c>
      <c r="I15" s="65">
        <f>'L1'!T90</f>
        <v>0</v>
      </c>
    </row>
    <row r="16" spans="1:9" ht="11.25" x14ac:dyDescent="0.25">
      <c r="A16" s="57">
        <f t="shared" si="0"/>
        <v>4</v>
      </c>
      <c r="B16" s="57">
        <f t="shared" si="1"/>
        <v>4</v>
      </c>
      <c r="C16" s="381" t="str">
        <f>'L2'!C2</f>
        <v>Logu nomaiņa, tsk. Lodžijas ēkā nr.2</v>
      </c>
      <c r="E16" s="65">
        <f>'L2'!P89</f>
        <v>0</v>
      </c>
      <c r="F16" s="65">
        <f>'L2'!Q89</f>
        <v>0</v>
      </c>
      <c r="G16" s="65">
        <f>'L2'!R89</f>
        <v>0</v>
      </c>
      <c r="H16" s="65">
        <f>'L2'!S89</f>
        <v>0</v>
      </c>
      <c r="I16" s="65">
        <f>'L2'!T89</f>
        <v>0</v>
      </c>
    </row>
    <row r="17" spans="1:9" ht="11.25" x14ac:dyDescent="0.25">
      <c r="A17" s="57">
        <f t="shared" si="0"/>
        <v>5</v>
      </c>
      <c r="B17" s="57">
        <f t="shared" si="1"/>
        <v>5</v>
      </c>
      <c r="C17" s="159" t="str">
        <f>cokol1!C2</f>
        <v>Cokola siltināšanas darbi ēkā nr.1</v>
      </c>
      <c r="E17" s="65">
        <f>cokol1!M56</f>
        <v>0</v>
      </c>
      <c r="F17" s="65">
        <f>cokol1!N56</f>
        <v>0</v>
      </c>
      <c r="G17" s="65">
        <f>cokol1!O56</f>
        <v>0</v>
      </c>
      <c r="H17" s="65">
        <f>cokol1!P56</f>
        <v>0</v>
      </c>
      <c r="I17" s="65">
        <f>cokol1!Q56</f>
        <v>0</v>
      </c>
    </row>
    <row r="18" spans="1:9" ht="11.25" x14ac:dyDescent="0.25">
      <c r="A18" s="57">
        <f t="shared" si="0"/>
        <v>6</v>
      </c>
      <c r="B18" s="57">
        <f t="shared" si="1"/>
        <v>6</v>
      </c>
      <c r="C18" s="159" t="str">
        <f>cokol2!C2</f>
        <v>Cokola siltināšanas darbi ēkā nr.2</v>
      </c>
      <c r="E18" s="65">
        <f>cokol2!M55</f>
        <v>0</v>
      </c>
      <c r="F18" s="65">
        <f>cokol2!N55</f>
        <v>0</v>
      </c>
      <c r="G18" s="65">
        <f>cokol2!O55</f>
        <v>0</v>
      </c>
      <c r="H18" s="65">
        <f>cokol2!P55</f>
        <v>0</v>
      </c>
      <c r="I18" s="65">
        <f>cokol2!Q55</f>
        <v>0</v>
      </c>
    </row>
    <row r="19" spans="1:9" ht="11.25" x14ac:dyDescent="0.25">
      <c r="A19" s="57">
        <f t="shared" si="0"/>
        <v>7</v>
      </c>
      <c r="B19" s="57">
        <f t="shared" si="1"/>
        <v>7</v>
      </c>
      <c r="C19" s="159" t="str">
        <f>'pag1'!C2</f>
        <v>Pagraba siltināšana ēkā nr.1</v>
      </c>
      <c r="E19" s="65">
        <f>'pag1'!M24</f>
        <v>0</v>
      </c>
      <c r="F19" s="65">
        <f>'pag1'!N24</f>
        <v>0</v>
      </c>
      <c r="G19" s="65">
        <f>'pag1'!O24</f>
        <v>0</v>
      </c>
      <c r="H19" s="65">
        <f>'pag1'!P24</f>
        <v>0</v>
      </c>
      <c r="I19" s="65">
        <f>'pag1'!Q24</f>
        <v>0</v>
      </c>
    </row>
    <row r="20" spans="1:9" ht="11.25" x14ac:dyDescent="0.25">
      <c r="A20" s="57">
        <f t="shared" si="0"/>
        <v>8</v>
      </c>
      <c r="B20" s="57">
        <f t="shared" si="1"/>
        <v>8</v>
      </c>
      <c r="C20" s="159" t="str">
        <f>'pag2'!C2</f>
        <v>Pagraba siltināšana ēkā nr.2</v>
      </c>
      <c r="E20" s="65">
        <f>'pag2'!M24</f>
        <v>0</v>
      </c>
      <c r="F20" s="65">
        <f>'pag2'!N24</f>
        <v>0</v>
      </c>
      <c r="G20" s="65">
        <f>'pag2'!O24</f>
        <v>0</v>
      </c>
      <c r="H20" s="65">
        <f>'pag2'!P24</f>
        <v>0</v>
      </c>
      <c r="I20" s="65">
        <f>'pag2'!Q24</f>
        <v>0</v>
      </c>
    </row>
    <row r="21" spans="1:9" ht="11.25" x14ac:dyDescent="0.25">
      <c r="A21" s="57">
        <f t="shared" si="0"/>
        <v>9</v>
      </c>
      <c r="B21" s="57">
        <f t="shared" si="1"/>
        <v>9</v>
      </c>
      <c r="C21" s="386" t="str">
        <f>bēniņi1!C2</f>
        <v>Bēniņu siltināšanas darbi ēkai nr.1(lielā)</v>
      </c>
      <c r="E21" s="65">
        <f>bēniņi1!M74</f>
        <v>0</v>
      </c>
      <c r="F21" s="65">
        <f>bēniņi1!N74</f>
        <v>0</v>
      </c>
      <c r="G21" s="65">
        <f>bēniņi1!O74</f>
        <v>0</v>
      </c>
      <c r="H21" s="65">
        <f>bēniņi1!P74</f>
        <v>0</v>
      </c>
      <c r="I21" s="65">
        <f>bēniņi1!Q74</f>
        <v>0</v>
      </c>
    </row>
    <row r="22" spans="1:9" ht="11.25" x14ac:dyDescent="0.25">
      <c r="A22" s="57">
        <f t="shared" si="0"/>
        <v>10</v>
      </c>
      <c r="B22" s="57">
        <f t="shared" si="1"/>
        <v>10</v>
      </c>
      <c r="C22" s="386" t="str">
        <f>bēniņi2!C2</f>
        <v>Bēniņu siltināšanas darbi ēkai nr.2(mazā)</v>
      </c>
      <c r="E22" s="65">
        <f>bēniņi2!M65</f>
        <v>0</v>
      </c>
      <c r="F22" s="65">
        <f>bēniņi2!N65</f>
        <v>0</v>
      </c>
      <c r="G22" s="65">
        <f>bēniņi2!O65</f>
        <v>0</v>
      </c>
      <c r="H22" s="65">
        <f>bēniņi2!P65</f>
        <v>0</v>
      </c>
      <c r="I22" s="65">
        <f>bēniņi2!Q65</f>
        <v>0</v>
      </c>
    </row>
    <row r="23" spans="1:9" ht="11.25" x14ac:dyDescent="0.25">
      <c r="A23" s="57">
        <f t="shared" si="0"/>
        <v>11</v>
      </c>
      <c r="B23" s="57">
        <f t="shared" si="1"/>
        <v>11</v>
      </c>
      <c r="C23" s="387" t="str">
        <f>jumt1!C2</f>
        <v>Jumta elementu virsmas remonts ēkai nr.1 (lielā)</v>
      </c>
      <c r="E23" s="65">
        <f>jumt1!M121</f>
        <v>0</v>
      </c>
      <c r="F23" s="65">
        <f>jumt1!N121</f>
        <v>0</v>
      </c>
      <c r="G23" s="65">
        <f>jumt1!O121</f>
        <v>0</v>
      </c>
      <c r="H23" s="65">
        <f>jumt1!P121</f>
        <v>0</v>
      </c>
      <c r="I23" s="65">
        <f>jumt1!Q121</f>
        <v>0</v>
      </c>
    </row>
    <row r="24" spans="1:9" ht="11.25" x14ac:dyDescent="0.25">
      <c r="A24" s="57">
        <f t="shared" si="0"/>
        <v>12</v>
      </c>
      <c r="B24" s="57">
        <f t="shared" si="1"/>
        <v>12</v>
      </c>
      <c r="C24" s="387" t="str">
        <f>jumtseg1!C2</f>
        <v>Jumta izbūve ēkai nr.1 (lielai)</v>
      </c>
      <c r="E24" s="65">
        <f>jumtseg1!Q111</f>
        <v>0</v>
      </c>
      <c r="F24" s="65">
        <f>jumtseg1!R111</f>
        <v>0</v>
      </c>
      <c r="G24" s="65">
        <f>jumtseg1!S111</f>
        <v>0</v>
      </c>
      <c r="H24" s="65">
        <f>jumtseg1!T111</f>
        <v>0</v>
      </c>
      <c r="I24" s="65">
        <f>jumtseg1!U111</f>
        <v>0</v>
      </c>
    </row>
    <row r="25" spans="1:9" ht="11.25" x14ac:dyDescent="0.25">
      <c r="A25" s="57">
        <f t="shared" si="0"/>
        <v>13</v>
      </c>
      <c r="B25" s="57">
        <f t="shared" si="1"/>
        <v>13</v>
      </c>
      <c r="C25" s="387" t="str">
        <f>jumt2!C2</f>
        <v>Jumta elementu virsmas remonts ēkai nr.2 (mazā)</v>
      </c>
      <c r="E25" s="65">
        <f>jumt2!M102</f>
        <v>0</v>
      </c>
      <c r="F25" s="65">
        <f>jumt2!N102</f>
        <v>0</v>
      </c>
      <c r="G25" s="65">
        <f>jumt2!O102</f>
        <v>0</v>
      </c>
      <c r="H25" s="65">
        <f>jumt2!P102</f>
        <v>0</v>
      </c>
      <c r="I25" s="65">
        <f>jumt2!Q102</f>
        <v>0</v>
      </c>
    </row>
    <row r="26" spans="1:9" ht="11.25" x14ac:dyDescent="0.25">
      <c r="A26" s="57">
        <f t="shared" si="0"/>
        <v>14</v>
      </c>
      <c r="B26" s="57">
        <f t="shared" si="1"/>
        <v>14</v>
      </c>
      <c r="C26" s="387" t="str">
        <f>jumtseg2!C2</f>
        <v>Jumta izbūve ēkai nr.1 (mazā)</v>
      </c>
      <c r="E26" s="65">
        <f>jumtseg2!Q71</f>
        <v>0</v>
      </c>
      <c r="F26" s="65">
        <f>jumtseg2!R71</f>
        <v>0</v>
      </c>
      <c r="G26" s="65">
        <f>jumtseg2!S71</f>
        <v>0</v>
      </c>
      <c r="H26" s="65">
        <f>jumtseg2!T71</f>
        <v>0</v>
      </c>
      <c r="I26" s="65">
        <f>jumtseg2!U71</f>
        <v>0</v>
      </c>
    </row>
    <row r="27" spans="1:9" ht="11.25" x14ac:dyDescent="0.25">
      <c r="A27" s="57">
        <f t="shared" si="0"/>
        <v>15</v>
      </c>
      <c r="B27" s="57">
        <f t="shared" si="1"/>
        <v>15</v>
      </c>
      <c r="C27" s="66" t="str">
        <f>Ieeja1!C2</f>
        <v>Ieejas mezgli ēkai nr.1</v>
      </c>
      <c r="E27" s="65">
        <f>Ieeja1!M73</f>
        <v>0</v>
      </c>
      <c r="F27" s="65">
        <f>Ieeja1!N73</f>
        <v>0</v>
      </c>
      <c r="G27" s="65">
        <f>Ieeja1!O73</f>
        <v>0</v>
      </c>
      <c r="H27" s="65">
        <f>Ieeja1!P73</f>
        <v>0</v>
      </c>
      <c r="I27" s="65">
        <f>Ieeja1!Q73</f>
        <v>0</v>
      </c>
    </row>
    <row r="28" spans="1:9" ht="11.25" x14ac:dyDescent="0.25">
      <c r="A28" s="57">
        <f t="shared" si="0"/>
        <v>16</v>
      </c>
      <c r="B28" s="57">
        <f t="shared" si="1"/>
        <v>16</v>
      </c>
      <c r="C28" s="66" t="str">
        <f>Ieeja2!C2</f>
        <v>Ieejas mezgli ēkai nr.2</v>
      </c>
      <c r="E28" s="65">
        <f>Ieeja2!M72</f>
        <v>0</v>
      </c>
      <c r="F28" s="65">
        <f>Ieeja2!N72</f>
        <v>0</v>
      </c>
      <c r="G28" s="65">
        <f>Ieeja2!O72</f>
        <v>0</v>
      </c>
      <c r="H28" s="65">
        <f>Ieeja2!P72</f>
        <v>0</v>
      </c>
      <c r="I28" s="65">
        <f>Ieeja2!Q72</f>
        <v>0</v>
      </c>
    </row>
    <row r="29" spans="1:9" ht="11.25" x14ac:dyDescent="0.25">
      <c r="A29" s="57">
        <f t="shared" si="0"/>
        <v>17</v>
      </c>
      <c r="B29" s="57">
        <f t="shared" si="1"/>
        <v>17</v>
      </c>
      <c r="C29" s="152" t="str">
        <f>'lodz-2'!C2</f>
        <v>Lodžiju remontdarbi ēkai nr.2 - labots ēkas numurs</v>
      </c>
      <c r="E29" s="65">
        <f>lodz1!M67</f>
        <v>0</v>
      </c>
      <c r="F29" s="65">
        <f>lodz1!N67</f>
        <v>0</v>
      </c>
      <c r="G29" s="65">
        <f>lodz1!O67</f>
        <v>0</v>
      </c>
      <c r="H29" s="65">
        <f>lodz1!P67</f>
        <v>0</v>
      </c>
      <c r="I29" s="65">
        <f>lodz1!Q67</f>
        <v>0</v>
      </c>
    </row>
    <row r="30" spans="1:9" ht="11.25" x14ac:dyDescent="0.25">
      <c r="A30" s="57">
        <f t="shared" si="0"/>
        <v>18</v>
      </c>
      <c r="B30" s="57">
        <f t="shared" si="1"/>
        <v>18</v>
      </c>
      <c r="C30" s="152" t="str">
        <f>lodz1!C2</f>
        <v>Lodžiju remontdarbi ēkai nr1 (lielā) - labots ēkas numurs!</v>
      </c>
      <c r="E30" s="65">
        <f>'lodz-2'!M67</f>
        <v>0</v>
      </c>
      <c r="F30" s="65">
        <f>'lodz-2'!N67</f>
        <v>0</v>
      </c>
      <c r="G30" s="65">
        <f>'lodz-2'!O67</f>
        <v>0</v>
      </c>
      <c r="H30" s="65">
        <f>'lodz-2'!P67</f>
        <v>0</v>
      </c>
      <c r="I30" s="65">
        <f>'lodz-2'!Q67</f>
        <v>0</v>
      </c>
    </row>
    <row r="31" spans="1:9" ht="11.25" x14ac:dyDescent="0.25">
      <c r="A31" s="57">
        <f t="shared" si="0"/>
        <v>19</v>
      </c>
      <c r="B31" s="57">
        <f t="shared" si="1"/>
        <v>19</v>
      </c>
      <c r="C31" s="97" t="str">
        <f>AVK!C2</f>
        <v>AVK daļa</v>
      </c>
      <c r="E31" s="65">
        <f>AVK!M363</f>
        <v>0</v>
      </c>
      <c r="F31" s="65">
        <f>AVK!N363</f>
        <v>0</v>
      </c>
      <c r="G31" s="65">
        <f>AVK!O363</f>
        <v>0</v>
      </c>
      <c r="H31" s="65">
        <f>AVK!P363</f>
        <v>0</v>
      </c>
      <c r="I31" s="65">
        <f>AVK!Q363</f>
        <v>0</v>
      </c>
    </row>
    <row r="32" spans="1:9" ht="11.25" x14ac:dyDescent="0.25">
      <c r="A32" s="57">
        <f t="shared" si="0"/>
        <v>20</v>
      </c>
      <c r="B32" s="57">
        <f t="shared" si="1"/>
        <v>20</v>
      </c>
      <c r="C32" s="98" t="str">
        <f>'K1'!C2</f>
        <v>Sadzīves kanalizācija.</v>
      </c>
      <c r="E32" s="65">
        <f>'K1'!M36</f>
        <v>0</v>
      </c>
      <c r="F32" s="65">
        <f>'K1'!N36</f>
        <v>0</v>
      </c>
      <c r="G32" s="65">
        <f>'K1'!O36</f>
        <v>0</v>
      </c>
      <c r="H32" s="65">
        <f>'K1'!P36</f>
        <v>0</v>
      </c>
      <c r="I32" s="65">
        <f>'K1'!Q36</f>
        <v>0</v>
      </c>
    </row>
    <row r="33" spans="1:9" ht="11.25" x14ac:dyDescent="0.25">
      <c r="A33" s="57">
        <f t="shared" si="0"/>
        <v>21</v>
      </c>
      <c r="B33" s="57">
        <f t="shared" si="1"/>
        <v>21</v>
      </c>
      <c r="C33" s="98" t="str">
        <f>'U1'!C2</f>
        <v>Aukstā ūdensapgāde.</v>
      </c>
      <c r="E33" s="65">
        <f>'U1'!M27</f>
        <v>0</v>
      </c>
      <c r="F33" s="65">
        <f>'U1'!N27</f>
        <v>0</v>
      </c>
      <c r="G33" s="65">
        <f>'U1'!O27</f>
        <v>0</v>
      </c>
      <c r="H33" s="65">
        <f>'U1'!P27</f>
        <v>0</v>
      </c>
      <c r="I33" s="65">
        <f>'U1'!Q27</f>
        <v>0</v>
      </c>
    </row>
    <row r="34" spans="1:9" ht="11.25" x14ac:dyDescent="0.25">
      <c r="A34" s="57">
        <f t="shared" si="0"/>
        <v>22</v>
      </c>
      <c r="B34" s="57">
        <f t="shared" si="1"/>
        <v>22</v>
      </c>
      <c r="C34" s="98" t="str">
        <f>Komun.šahtas!C2</f>
        <v>Komunikāciju šahtu atjaunošana</v>
      </c>
      <c r="E34" s="65">
        <f>Komun.šahtas!L52</f>
        <v>0</v>
      </c>
      <c r="F34" s="65">
        <f>Komun.šahtas!M52</f>
        <v>0</v>
      </c>
      <c r="G34" s="65">
        <f>Komun.šahtas!N52</f>
        <v>0</v>
      </c>
      <c r="H34" s="65">
        <f>Komun.šahtas!O52</f>
        <v>0</v>
      </c>
      <c r="I34" s="65">
        <f>Komun.šahtas!P52</f>
        <v>0</v>
      </c>
    </row>
    <row r="35" spans="1:9" ht="11.25" x14ac:dyDescent="0.25">
      <c r="A35" s="57">
        <f t="shared" si="0"/>
        <v>23</v>
      </c>
      <c r="B35" s="57">
        <f t="shared" ref="B35:B36" si="2">A35</f>
        <v>23</v>
      </c>
      <c r="C35" s="98" t="str">
        <f>zibens1!C2</f>
        <v>Zibensaizsardzība māja nr.1</v>
      </c>
      <c r="E35" s="65">
        <f>zibens1!L43</f>
        <v>0</v>
      </c>
      <c r="F35" s="65">
        <f>zibens1!M43</f>
        <v>0</v>
      </c>
      <c r="G35" s="65">
        <f>zibens1!N43</f>
        <v>0</v>
      </c>
      <c r="H35" s="65">
        <f>zibens1!O43</f>
        <v>0</v>
      </c>
      <c r="I35" s="65">
        <f>zibens1!P43</f>
        <v>0</v>
      </c>
    </row>
    <row r="36" spans="1:9" ht="11.25" x14ac:dyDescent="0.25">
      <c r="A36" s="57">
        <f t="shared" si="0"/>
        <v>24</v>
      </c>
      <c r="B36" s="57">
        <f t="shared" si="2"/>
        <v>24</v>
      </c>
      <c r="C36" s="98" t="str">
        <f>zibens2!C2</f>
        <v>Zibensaizsardzība māja nr.2</v>
      </c>
      <c r="E36" s="65">
        <f>zibens2!L43</f>
        <v>0</v>
      </c>
      <c r="F36" s="65">
        <f>zibens2!M43</f>
        <v>0</v>
      </c>
      <c r="G36" s="65">
        <f>zibens2!N43</f>
        <v>0</v>
      </c>
      <c r="H36" s="65">
        <f>zibens2!O43</f>
        <v>0</v>
      </c>
      <c r="I36" s="65">
        <f>zibens2!P43</f>
        <v>0</v>
      </c>
    </row>
    <row r="37" spans="1:9" ht="11.25" x14ac:dyDescent="0.25">
      <c r="A37" s="417"/>
      <c r="B37" s="160"/>
      <c r="C37" s="251" t="s">
        <v>54</v>
      </c>
      <c r="E37" s="252">
        <f>SUM(E13:E36)</f>
        <v>0</v>
      </c>
      <c r="F37" s="252">
        <f t="shared" ref="F37:H37" si="3">SUM(F13:F36)</f>
        <v>0</v>
      </c>
      <c r="G37" s="252">
        <f t="shared" si="3"/>
        <v>0</v>
      </c>
      <c r="H37" s="252">
        <f t="shared" si="3"/>
        <v>0</v>
      </c>
      <c r="I37" s="252">
        <f>SUM(I13:I36)</f>
        <v>0</v>
      </c>
    </row>
    <row r="38" spans="1:9" ht="11.25" x14ac:dyDescent="0.25">
      <c r="A38" s="417"/>
      <c r="B38" s="160"/>
      <c r="C38" s="254" t="s">
        <v>58</v>
      </c>
      <c r="D38" s="255"/>
      <c r="I38" s="256">
        <f>I37*D38</f>
        <v>0</v>
      </c>
    </row>
    <row r="39" spans="1:9" ht="11.25" x14ac:dyDescent="0.25">
      <c r="A39" s="143"/>
      <c r="B39" s="138"/>
      <c r="C39" s="257" t="s">
        <v>207</v>
      </c>
      <c r="D39" s="255"/>
      <c r="I39" s="256">
        <v>0</v>
      </c>
    </row>
    <row r="40" spans="1:9" ht="11.25" x14ac:dyDescent="0.25">
      <c r="A40" s="143"/>
      <c r="B40" s="138"/>
      <c r="C40" s="254" t="s">
        <v>59</v>
      </c>
      <c r="D40" s="255"/>
      <c r="I40" s="256">
        <f>I37*D40</f>
        <v>0</v>
      </c>
    </row>
    <row r="41" spans="1:9" ht="11.25" x14ac:dyDescent="0.25">
      <c r="A41" s="143"/>
      <c r="B41" s="138"/>
      <c r="C41" s="258" t="s">
        <v>208</v>
      </c>
      <c r="D41" s="259"/>
      <c r="I41" s="260">
        <f>SUM(I37:I40)</f>
        <v>0</v>
      </c>
    </row>
    <row r="42" spans="1:9" ht="11.25" x14ac:dyDescent="0.25">
      <c r="A42" s="143"/>
      <c r="B42" s="138"/>
      <c r="C42" s="258" t="s">
        <v>866</v>
      </c>
      <c r="D42" s="807">
        <v>0.02</v>
      </c>
      <c r="I42" s="260">
        <f>I41*D42</f>
        <v>0</v>
      </c>
    </row>
    <row r="43" spans="1:9" ht="11.25" x14ac:dyDescent="0.25">
      <c r="A43" s="143"/>
      <c r="B43" s="138"/>
      <c r="C43" s="258" t="s">
        <v>54</v>
      </c>
      <c r="D43" s="259"/>
      <c r="I43" s="260">
        <f>I42+I41</f>
        <v>0</v>
      </c>
    </row>
    <row r="44" spans="1:9" ht="11.25" x14ac:dyDescent="0.25">
      <c r="A44" s="142"/>
      <c r="B44" s="142"/>
      <c r="C44" s="140" t="str">
        <f>sas</f>
        <v>Sastādīja:</v>
      </c>
      <c r="E44" s="140"/>
      <c r="F44" s="138"/>
      <c r="G44" s="138"/>
      <c r="H44" s="138"/>
    </row>
    <row r="45" spans="1:9" ht="11.25" x14ac:dyDescent="0.25">
      <c r="A45" s="143"/>
      <c r="B45" s="138"/>
      <c r="C45" s="140"/>
      <c r="E45" s="358" t="s">
        <v>145</v>
      </c>
      <c r="F45" s="138"/>
      <c r="G45" s="338"/>
      <c r="H45" s="339"/>
    </row>
    <row r="46" spans="1:9" ht="11.25" x14ac:dyDescent="0.25">
      <c r="A46" s="143"/>
      <c r="B46" s="138"/>
      <c r="C46" s="161"/>
      <c r="E46" s="161"/>
      <c r="F46" s="138"/>
      <c r="G46" s="338"/>
      <c r="H46" s="339"/>
    </row>
    <row r="47" spans="1:9" ht="11.25" x14ac:dyDescent="0.25">
      <c r="A47" s="143"/>
      <c r="B47" s="138"/>
      <c r="C47" s="140" t="s">
        <v>865</v>
      </c>
      <c r="E47" s="140"/>
      <c r="F47" s="138"/>
      <c r="G47" s="338"/>
      <c r="H47" s="339"/>
    </row>
    <row r="48" spans="1:9" ht="11.25" x14ac:dyDescent="0.25">
      <c r="A48" s="143"/>
      <c r="B48" s="138"/>
      <c r="C48" s="161"/>
      <c r="E48" s="161"/>
      <c r="F48" s="138"/>
      <c r="G48" s="338"/>
      <c r="H48" s="339"/>
    </row>
    <row r="49" spans="1:8" ht="11.25" x14ac:dyDescent="0.25">
      <c r="A49" s="143"/>
      <c r="B49" s="138"/>
      <c r="C49" s="140" t="s">
        <v>147</v>
      </c>
      <c r="E49" s="140"/>
      <c r="F49" s="138"/>
      <c r="G49" s="138"/>
      <c r="H49" s="138"/>
    </row>
    <row r="50" spans="1:8" ht="11.25" x14ac:dyDescent="0.25">
      <c r="A50" s="143"/>
      <c r="B50" s="138"/>
      <c r="C50" s="140"/>
      <c r="E50" s="358" t="s">
        <v>145</v>
      </c>
      <c r="G50" s="138"/>
      <c r="H50" s="138"/>
    </row>
    <row r="51" spans="1:8" ht="11.25" x14ac:dyDescent="0.25">
      <c r="A51" s="143"/>
      <c r="B51" s="138"/>
      <c r="C51" s="161"/>
      <c r="E51" s="140" t="s">
        <v>148</v>
      </c>
      <c r="G51" s="138"/>
      <c r="H51" s="138"/>
    </row>
    <row r="52" spans="1:8" ht="11.25" x14ac:dyDescent="0.25">
      <c r="C52" s="161"/>
      <c r="D52" s="161"/>
      <c r="E52" s="143"/>
    </row>
  </sheetData>
  <mergeCells count="8">
    <mergeCell ref="E11:E12"/>
    <mergeCell ref="F11:H11"/>
    <mergeCell ref="I11:I12"/>
    <mergeCell ref="B2:H2"/>
    <mergeCell ref="A1:H1"/>
    <mergeCell ref="A11:A12"/>
    <mergeCell ref="B11:B12"/>
    <mergeCell ref="C11:C12"/>
  </mergeCells>
  <pageMargins left="0.25" right="0.25" top="0.75" bottom="0.75" header="0.3" footer="0.3"/>
  <pageSetup paperSize="9" orientation="landscape" r:id="rId1"/>
  <rowBreaks count="1" manualBreakCount="1">
    <brk id="3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89"/>
  <sheetViews>
    <sheetView view="pageBreakPreview" topLeftCell="A41" zoomScale="85" zoomScaleNormal="85" zoomScaleSheetLayoutView="85" workbookViewId="0">
      <selection activeCell="C68" sqref="C68"/>
    </sheetView>
  </sheetViews>
  <sheetFormatPr defaultColWidth="8.5703125" defaultRowHeight="11.25" x14ac:dyDescent="0.25"/>
  <cols>
    <col min="1" max="1" width="4.42578125" style="32" customWidth="1"/>
    <col min="2" max="2" width="16" style="100" customWidth="1"/>
    <col min="3" max="3" width="45.42578125" style="129" customWidth="1"/>
    <col min="4" max="4" width="6.140625" style="494" customWidth="1"/>
    <col min="5" max="5" width="7.42578125" style="494" customWidth="1"/>
    <col min="6" max="6" width="6.5703125" style="100" hidden="1" customWidth="1"/>
    <col min="7" max="7" width="8" style="45" customWidth="1"/>
    <col min="8" max="8" width="6.5703125" style="100" customWidth="1"/>
    <col min="9" max="9" width="5.5703125" style="100" customWidth="1"/>
    <col min="10" max="10" width="5.7109375" style="100" customWidth="1"/>
    <col min="11" max="11" width="5.5703125" style="100" customWidth="1"/>
    <col min="12" max="12" width="8.28515625" style="100" customWidth="1"/>
    <col min="13" max="13" width="9" style="100" customWidth="1"/>
    <col min="14" max="14" width="9.5703125" style="100" customWidth="1"/>
    <col min="15" max="15" width="9.7109375" style="100" customWidth="1"/>
    <col min="16" max="16" width="8" style="100" customWidth="1"/>
    <col min="17" max="17" width="9.85546875" style="100" customWidth="1"/>
    <col min="18" max="16384" width="8.5703125" style="100"/>
  </cols>
  <sheetData>
    <row r="1" spans="1:17" s="27" customFormat="1" ht="12" thickBot="1" x14ac:dyDescent="0.3">
      <c r="A1" s="414"/>
      <c r="B1" s="26"/>
      <c r="C1" s="26"/>
      <c r="D1" s="489"/>
      <c r="E1" s="489"/>
      <c r="F1" s="26"/>
      <c r="G1" s="731" t="s">
        <v>6</v>
      </c>
      <c r="H1" s="25">
        <f>KPDV!A13</f>
        <v>1</v>
      </c>
      <c r="I1" s="26"/>
      <c r="J1" s="26"/>
      <c r="K1" s="26"/>
      <c r="L1" s="26"/>
      <c r="M1" s="26"/>
    </row>
    <row r="2" spans="1:17" s="27" customFormat="1" x14ac:dyDescent="0.25">
      <c r="A2" s="414"/>
      <c r="B2" s="26"/>
      <c r="C2" s="30" t="s">
        <v>558</v>
      </c>
      <c r="D2" s="489"/>
      <c r="E2" s="489"/>
      <c r="F2" s="26"/>
      <c r="G2" s="731"/>
      <c r="H2" s="183"/>
      <c r="I2" s="26"/>
      <c r="J2" s="26"/>
      <c r="K2" s="26"/>
      <c r="L2" s="26"/>
      <c r="M2" s="26"/>
    </row>
    <row r="3" spans="1:17" s="140" customFormat="1" x14ac:dyDescent="0.25">
      <c r="A3" s="190" t="str">
        <f>nos</f>
        <v>Būves nosaukums:  Dzīvojamās māja</v>
      </c>
      <c r="B3" s="4"/>
      <c r="C3" s="28"/>
      <c r="D3" s="490"/>
      <c r="E3" s="49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40" customFormat="1" x14ac:dyDescent="0.25">
      <c r="A4" s="168" t="str">
        <f>obj</f>
        <v>Objekta nosaukums: Dzīvojamās ēkas fasādes vienkāršota atjaunošana</v>
      </c>
      <c r="B4" s="4"/>
      <c r="C4" s="28"/>
      <c r="D4" s="490"/>
      <c r="E4" s="49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40" customFormat="1" x14ac:dyDescent="0.25">
      <c r="A5" s="168" t="str">
        <f>adres</f>
        <v>Objekta adrese: Aisteres iela 7, Liepājā</v>
      </c>
      <c r="B5" s="4"/>
      <c r="C5" s="28"/>
      <c r="D5" s="490"/>
      <c r="E5" s="49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140" customFormat="1" ht="12" thickBot="1" x14ac:dyDescent="0.3">
      <c r="A6" s="168" t="str">
        <f>nr</f>
        <v>Pasūtījuma Nr.WS-41-17</v>
      </c>
      <c r="B6" s="4"/>
      <c r="C6" s="28"/>
      <c r="D6" s="490"/>
      <c r="E6" s="49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140" customFormat="1" ht="12" thickBot="1" x14ac:dyDescent="0.3">
      <c r="A7" s="190"/>
      <c r="B7" s="7"/>
      <c r="C7" s="322" t="s">
        <v>695</v>
      </c>
      <c r="D7" s="245"/>
      <c r="E7" s="247" t="s">
        <v>554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Q77</f>
        <v>0</v>
      </c>
    </row>
    <row r="8" spans="1:17" s="140" customFormat="1" x14ac:dyDescent="0.25">
      <c r="A8" s="182"/>
      <c r="B8" s="187"/>
      <c r="C8" s="311"/>
      <c r="D8" s="247"/>
      <c r="E8" s="24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4"/>
    </row>
    <row r="9" spans="1:17" s="32" customFormat="1" x14ac:dyDescent="0.25">
      <c r="A9" s="830" t="s">
        <v>7</v>
      </c>
      <c r="B9" s="831" t="s">
        <v>8</v>
      </c>
      <c r="C9" s="832" t="s">
        <v>132</v>
      </c>
      <c r="D9" s="833" t="s">
        <v>51</v>
      </c>
      <c r="E9" s="834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32" customFormat="1" ht="69" x14ac:dyDescent="0.25">
      <c r="A10" s="830"/>
      <c r="B10" s="831"/>
      <c r="C10" s="832"/>
      <c r="D10" s="833"/>
      <c r="E10" s="834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32" customFormat="1" x14ac:dyDescent="0.25">
      <c r="A11" s="410">
        <v>1</v>
      </c>
      <c r="B11" s="33">
        <f>A11+1</f>
        <v>2</v>
      </c>
      <c r="C11" s="323">
        <f>B11+1</f>
        <v>3</v>
      </c>
      <c r="D11" s="465">
        <f>C11+1</f>
        <v>4</v>
      </c>
      <c r="E11" s="465">
        <f>D11+1</f>
        <v>5</v>
      </c>
      <c r="F11" s="145">
        <v>1</v>
      </c>
      <c r="G11" s="33">
        <f>E11+1</f>
        <v>6</v>
      </c>
      <c r="H11" s="33">
        <f t="shared" ref="H11:Q11" si="0">G11+1</f>
        <v>7</v>
      </c>
      <c r="I11" s="33">
        <f t="shared" si="0"/>
        <v>8</v>
      </c>
      <c r="J11" s="33">
        <f t="shared" si="0"/>
        <v>9</v>
      </c>
      <c r="K11" s="33">
        <f t="shared" si="0"/>
        <v>10</v>
      </c>
      <c r="L11" s="33">
        <f t="shared" si="0"/>
        <v>11</v>
      </c>
      <c r="M11" s="33">
        <f t="shared" si="0"/>
        <v>12</v>
      </c>
      <c r="N11" s="33">
        <f t="shared" si="0"/>
        <v>13</v>
      </c>
      <c r="O11" s="33">
        <f t="shared" si="0"/>
        <v>14</v>
      </c>
      <c r="P11" s="33">
        <f t="shared" si="0"/>
        <v>15</v>
      </c>
      <c r="Q11" s="33">
        <f t="shared" si="0"/>
        <v>16</v>
      </c>
    </row>
    <row r="12" spans="1:17" s="147" customFormat="1" x14ac:dyDescent="0.25">
      <c r="A12" s="743">
        <f>IF(COUNTBLANK(B12)=1," ",COUNTA($B12:B$12))</f>
        <v>1</v>
      </c>
      <c r="B12" s="205" t="s">
        <v>14</v>
      </c>
      <c r="C12" s="324" t="s">
        <v>41</v>
      </c>
      <c r="D12" s="647" t="s">
        <v>16</v>
      </c>
      <c r="E12" s="648">
        <f>apjom!U37*1.5</f>
        <v>315</v>
      </c>
      <c r="F12" s="649"/>
      <c r="G12" s="209"/>
      <c r="H12" s="211"/>
      <c r="I12" s="209"/>
      <c r="J12" s="209"/>
      <c r="K12" s="209"/>
      <c r="L12" s="314"/>
      <c r="M12" s="315"/>
      <c r="N12" s="315"/>
      <c r="O12" s="315"/>
      <c r="P12" s="315"/>
      <c r="Q12" s="315"/>
    </row>
    <row r="13" spans="1:17" s="147" customFormat="1" x14ac:dyDescent="0.25">
      <c r="A13" s="743" t="str">
        <f>IF(COUNTBLANK(B13)=1," ",COUNTA($B$12:B13))</f>
        <v xml:space="preserve"> </v>
      </c>
      <c r="B13" s="206"/>
      <c r="C13" s="325" t="s">
        <v>42</v>
      </c>
      <c r="D13" s="204" t="s">
        <v>32</v>
      </c>
      <c r="E13" s="650">
        <f>E12/F13</f>
        <v>90</v>
      </c>
      <c r="F13" s="651">
        <v>3.5</v>
      </c>
      <c r="G13" s="209"/>
      <c r="H13" s="211"/>
      <c r="I13" s="209"/>
      <c r="J13" s="642"/>
      <c r="K13" s="209"/>
      <c r="L13" s="314"/>
      <c r="M13" s="315"/>
      <c r="N13" s="315"/>
      <c r="O13" s="315"/>
      <c r="P13" s="315"/>
      <c r="Q13" s="315"/>
    </row>
    <row r="14" spans="1:17" s="147" customFormat="1" x14ac:dyDescent="0.25">
      <c r="A14" s="743" t="str">
        <f>IF(COUNTBLANK(B14)=1," ",COUNTA($B$12:B14))</f>
        <v xml:space="preserve"> </v>
      </c>
      <c r="B14" s="206"/>
      <c r="C14" s="325" t="s">
        <v>43</v>
      </c>
      <c r="D14" s="204" t="s">
        <v>32</v>
      </c>
      <c r="E14" s="650">
        <f>E12/F14</f>
        <v>90</v>
      </c>
      <c r="F14" s="651">
        <f>F13</f>
        <v>3.5</v>
      </c>
      <c r="G14" s="209"/>
      <c r="H14" s="211"/>
      <c r="I14" s="209"/>
      <c r="J14" s="642"/>
      <c r="K14" s="209"/>
      <c r="L14" s="314"/>
      <c r="M14" s="315"/>
      <c r="N14" s="315"/>
      <c r="O14" s="315"/>
      <c r="P14" s="315"/>
      <c r="Q14" s="315"/>
    </row>
    <row r="15" spans="1:17" s="147" customFormat="1" x14ac:dyDescent="0.25">
      <c r="A15" s="743">
        <f>IF(COUNTBLANK(B15)=1," ",COUNTA($B$12:B15))</f>
        <v>2</v>
      </c>
      <c r="B15" s="206" t="s">
        <v>14</v>
      </c>
      <c r="C15" s="325" t="s">
        <v>166</v>
      </c>
      <c r="D15" s="652" t="s">
        <v>16</v>
      </c>
      <c r="E15" s="650">
        <f>E12</f>
        <v>315</v>
      </c>
      <c r="F15" s="651"/>
      <c r="G15" s="209"/>
      <c r="H15" s="211"/>
      <c r="I15" s="209"/>
      <c r="J15" s="209"/>
      <c r="K15" s="209"/>
      <c r="L15" s="314"/>
      <c r="M15" s="315"/>
      <c r="N15" s="315"/>
      <c r="O15" s="315"/>
      <c r="P15" s="315"/>
      <c r="Q15" s="315"/>
    </row>
    <row r="16" spans="1:17" s="147" customFormat="1" x14ac:dyDescent="0.25">
      <c r="A16" s="743">
        <f>IF(COUNTBLANK(B16)=1," ",COUNTA($B$12:B16))</f>
        <v>3</v>
      </c>
      <c r="B16" s="206" t="s">
        <v>14</v>
      </c>
      <c r="C16" s="325" t="s">
        <v>44</v>
      </c>
      <c r="D16" s="204" t="s">
        <v>17</v>
      </c>
      <c r="E16" s="655">
        <f>apjom!U37*16.5</f>
        <v>3465</v>
      </c>
      <c r="F16" s="651"/>
      <c r="G16" s="209"/>
      <c r="H16" s="211"/>
      <c r="I16" s="209"/>
      <c r="J16" s="209"/>
      <c r="K16" s="209"/>
      <c r="L16" s="314"/>
      <c r="M16" s="315"/>
      <c r="N16" s="315"/>
      <c r="O16" s="315"/>
      <c r="P16" s="315"/>
      <c r="Q16" s="315"/>
    </row>
    <row r="17" spans="1:17" s="147" customFormat="1" x14ac:dyDescent="0.25">
      <c r="A17" s="743" t="str">
        <f>IF(COUNTBLANK(B17)=1," ",COUNTA($B$12:B17))</f>
        <v xml:space="preserve"> </v>
      </c>
      <c r="B17" s="206"/>
      <c r="C17" s="325" t="s">
        <v>45</v>
      </c>
      <c r="D17" s="204" t="s">
        <v>17</v>
      </c>
      <c r="E17" s="377">
        <f>ROUNDUP(E16*F17,0)</f>
        <v>3812</v>
      </c>
      <c r="F17" s="136">
        <v>1.1000000000000001</v>
      </c>
      <c r="G17" s="209"/>
      <c r="H17" s="211"/>
      <c r="I17" s="209"/>
      <c r="J17" s="209"/>
      <c r="K17" s="209"/>
      <c r="L17" s="314"/>
      <c r="M17" s="315"/>
      <c r="N17" s="315"/>
      <c r="O17" s="315"/>
      <c r="P17" s="315"/>
      <c r="Q17" s="315"/>
    </row>
    <row r="18" spans="1:17" s="147" customFormat="1" x14ac:dyDescent="0.25">
      <c r="A18" s="743" t="str">
        <f>IF(COUNTBLANK(B18)=1," ",COUNTA($B$12:B18))</f>
        <v xml:space="preserve"> </v>
      </c>
      <c r="B18" s="206"/>
      <c r="C18" s="54" t="s">
        <v>209</v>
      </c>
      <c r="D18" s="204" t="s">
        <v>17</v>
      </c>
      <c r="E18" s="377">
        <f>E16*F18</f>
        <v>3811.5000000000005</v>
      </c>
      <c r="F18" s="274">
        <v>1.1000000000000001</v>
      </c>
      <c r="G18" s="34"/>
      <c r="H18" s="60"/>
      <c r="I18" s="34"/>
      <c r="J18" s="34"/>
      <c r="K18" s="34"/>
      <c r="L18" s="314"/>
      <c r="M18" s="315"/>
      <c r="N18" s="315"/>
      <c r="O18" s="315"/>
      <c r="P18" s="315"/>
      <c r="Q18" s="315"/>
    </row>
    <row r="19" spans="1:17" s="147" customFormat="1" x14ac:dyDescent="0.25">
      <c r="A19" s="743">
        <f>IF(COUNTBLANK(B19)=1," ",COUNTA($B$12:B19))</f>
        <v>4</v>
      </c>
      <c r="B19" s="206" t="s">
        <v>14</v>
      </c>
      <c r="C19" s="325" t="s">
        <v>46</v>
      </c>
      <c r="D19" s="204" t="s">
        <v>32</v>
      </c>
      <c r="E19" s="650">
        <v>2</v>
      </c>
      <c r="F19" s="651"/>
      <c r="G19" s="209"/>
      <c r="H19" s="211"/>
      <c r="I19" s="209"/>
      <c r="J19" s="209"/>
      <c r="K19" s="209"/>
      <c r="L19" s="314"/>
      <c r="M19" s="315"/>
      <c r="N19" s="315"/>
      <c r="O19" s="315"/>
      <c r="P19" s="315"/>
      <c r="Q19" s="315"/>
    </row>
    <row r="20" spans="1:17" s="147" customFormat="1" x14ac:dyDescent="0.25">
      <c r="A20" s="743" t="str">
        <f>IF(COUNTBLANK(B20)=1," ",COUNTA($B$12:B20))</f>
        <v xml:space="preserve"> </v>
      </c>
      <c r="B20" s="206"/>
      <c r="C20" s="325" t="s">
        <v>47</v>
      </c>
      <c r="D20" s="204" t="s">
        <v>48</v>
      </c>
      <c r="E20" s="650">
        <v>10</v>
      </c>
      <c r="F20" s="651"/>
      <c r="G20" s="209"/>
      <c r="H20" s="211"/>
      <c r="I20" s="209"/>
      <c r="J20" s="209"/>
      <c r="K20" s="209"/>
      <c r="L20" s="314"/>
      <c r="M20" s="315"/>
      <c r="N20" s="315"/>
      <c r="O20" s="315"/>
      <c r="P20" s="315"/>
      <c r="Q20" s="315"/>
    </row>
    <row r="21" spans="1:17" s="27" customFormat="1" x14ac:dyDescent="0.25">
      <c r="A21" s="743">
        <f>IF(COUNTBLANK(B21)=1," ",COUNTA($B$12:B21))</f>
        <v>5</v>
      </c>
      <c r="B21" s="206" t="s">
        <v>14</v>
      </c>
      <c r="C21" s="325" t="s">
        <v>49</v>
      </c>
      <c r="D21" s="204" t="s">
        <v>32</v>
      </c>
      <c r="E21" s="650">
        <v>1</v>
      </c>
      <c r="F21" s="136"/>
      <c r="G21" s="209"/>
      <c r="H21" s="211"/>
      <c r="I21" s="209"/>
      <c r="J21" s="209"/>
      <c r="K21" s="209"/>
      <c r="L21" s="314"/>
      <c r="M21" s="315"/>
      <c r="N21" s="315"/>
      <c r="O21" s="315"/>
      <c r="P21" s="315"/>
      <c r="Q21" s="315"/>
    </row>
    <row r="22" spans="1:17" s="26" customFormat="1" x14ac:dyDescent="0.25">
      <c r="A22" s="743">
        <f>IF(COUNTBLANK(B22)=1," ",COUNTA($B$12:B22))</f>
        <v>6</v>
      </c>
      <c r="B22" s="206" t="s">
        <v>14</v>
      </c>
      <c r="C22" s="325" t="s">
        <v>167</v>
      </c>
      <c r="D22" s="204" t="s">
        <v>32</v>
      </c>
      <c r="E22" s="650">
        <v>1</v>
      </c>
      <c r="F22" s="136"/>
      <c r="G22" s="209"/>
      <c r="H22" s="211"/>
      <c r="I22" s="209"/>
      <c r="J22" s="209"/>
      <c r="K22" s="209"/>
      <c r="L22" s="314"/>
      <c r="M22" s="315"/>
      <c r="N22" s="315"/>
      <c r="O22" s="315"/>
      <c r="P22" s="315"/>
      <c r="Q22" s="315"/>
    </row>
    <row r="23" spans="1:17" s="27" customFormat="1" x14ac:dyDescent="0.25">
      <c r="A23" s="743">
        <f>IF(COUNTBLANK(B23)=1," ",COUNTA($B$12:B23))</f>
        <v>7</v>
      </c>
      <c r="B23" s="206" t="s">
        <v>14</v>
      </c>
      <c r="C23" s="326" t="s">
        <v>168</v>
      </c>
      <c r="D23" s="204" t="s">
        <v>32</v>
      </c>
      <c r="E23" s="653">
        <v>1</v>
      </c>
      <c r="F23" s="136"/>
      <c r="G23" s="209"/>
      <c r="H23" s="211"/>
      <c r="I23" s="209"/>
      <c r="J23" s="209"/>
      <c r="K23" s="209"/>
      <c r="L23" s="314"/>
      <c r="M23" s="315"/>
      <c r="N23" s="315"/>
      <c r="O23" s="315"/>
      <c r="P23" s="315"/>
      <c r="Q23" s="315"/>
    </row>
    <row r="24" spans="1:17" s="27" customFormat="1" ht="33.75" x14ac:dyDescent="0.25">
      <c r="A24" s="743">
        <f>IF(COUNTBLANK(B24)=1," ",COUNTA($B$12:B24))</f>
        <v>8</v>
      </c>
      <c r="B24" s="206" t="s">
        <v>14</v>
      </c>
      <c r="C24" s="328" t="s">
        <v>169</v>
      </c>
      <c r="D24" s="207" t="s">
        <v>17</v>
      </c>
      <c r="E24" s="662">
        <f>E27+E29+E31+E33+E35</f>
        <v>1602</v>
      </c>
      <c r="F24" s="136"/>
      <c r="G24" s="60"/>
      <c r="H24" s="211"/>
      <c r="I24" s="34"/>
      <c r="J24" s="55"/>
      <c r="K24" s="271"/>
      <c r="L24" s="314"/>
      <c r="M24" s="315"/>
      <c r="N24" s="315"/>
      <c r="O24" s="315"/>
      <c r="P24" s="315"/>
      <c r="Q24" s="315"/>
    </row>
    <row r="25" spans="1:17" s="27" customFormat="1" x14ac:dyDescent="0.25">
      <c r="A25" s="743" t="str">
        <f>IF(COUNTBLANK(B25)=1," ",COUNTA($B$12:B25))</f>
        <v xml:space="preserve"> </v>
      </c>
      <c r="B25" s="204"/>
      <c r="C25" s="327" t="s">
        <v>170</v>
      </c>
      <c r="D25" s="654" t="s">
        <v>23</v>
      </c>
      <c r="E25" s="273">
        <f>ROUNDUP(E24*F25,2)</f>
        <v>480.6</v>
      </c>
      <c r="F25" s="136">
        <v>0.3</v>
      </c>
      <c r="G25" s="273"/>
      <c r="H25" s="643"/>
      <c r="I25" s="273"/>
      <c r="J25" s="273"/>
      <c r="K25" s="273"/>
      <c r="L25" s="314"/>
      <c r="M25" s="315"/>
      <c r="N25" s="315"/>
      <c r="O25" s="315"/>
      <c r="P25" s="315"/>
      <c r="Q25" s="315"/>
    </row>
    <row r="26" spans="1:17" s="27" customFormat="1" x14ac:dyDescent="0.25">
      <c r="A26" s="743" t="str">
        <f>IF(COUNTBLANK(B26)=1," ",COUNTA($B$12:B26))</f>
        <v xml:space="preserve"> </v>
      </c>
      <c r="B26" s="204"/>
      <c r="C26" s="327" t="s">
        <v>171</v>
      </c>
      <c r="D26" s="654" t="s">
        <v>23</v>
      </c>
      <c r="E26" s="274">
        <f>ROUNDUP(E24*F26,2)</f>
        <v>8010</v>
      </c>
      <c r="F26" s="136">
        <v>5</v>
      </c>
      <c r="G26" s="274"/>
      <c r="H26" s="644"/>
      <c r="I26" s="274"/>
      <c r="J26" s="274"/>
      <c r="K26" s="274"/>
      <c r="L26" s="314"/>
      <c r="M26" s="315"/>
      <c r="N26" s="315"/>
      <c r="O26" s="315"/>
      <c r="P26" s="315"/>
      <c r="Q26" s="315"/>
    </row>
    <row r="27" spans="1:17" s="27" customFormat="1" ht="45" x14ac:dyDescent="0.25">
      <c r="A27" s="743">
        <f>IF(COUNTBLANK(B27)=1," ",COUNTA($B$12:B27))</f>
        <v>9</v>
      </c>
      <c r="B27" s="646" t="str">
        <f>apjom!A87</f>
        <v xml:space="preserve">S-1 Paneļu ārsienas siltinājums </v>
      </c>
      <c r="C27" s="325" t="str">
        <f>apjom!B87</f>
        <v>Apmetuma sistēma virs siltinājuma (AS-1 vai AS-2)
Siltinājums - akmensvate (Technofacade Cottage vai ekvivalents)  λ=0,036W/m²K  b=150mm, Līmjava, Grunts, Esošā siena - vieglbetona panelis b=250mm</v>
      </c>
      <c r="D27" s="204" t="str">
        <f>apjom!C87</f>
        <v>m²</v>
      </c>
      <c r="E27" s="204">
        <f>apjom!D87</f>
        <v>660</v>
      </c>
      <c r="F27" s="208"/>
      <c r="G27" s="60"/>
      <c r="H27" s="60"/>
      <c r="I27" s="60"/>
      <c r="J27" s="60"/>
      <c r="K27" s="60"/>
      <c r="L27" s="314"/>
      <c r="M27" s="315"/>
      <c r="N27" s="315"/>
      <c r="O27" s="315"/>
      <c r="P27" s="315"/>
      <c r="Q27" s="315"/>
    </row>
    <row r="28" spans="1:17" s="27" customFormat="1" ht="22.5" x14ac:dyDescent="0.25">
      <c r="A28" s="743" t="str">
        <f>IF(COUNTBLANK(B28)=1," ",COUNTA($B$12:B28))</f>
        <v xml:space="preserve"> </v>
      </c>
      <c r="B28" s="646"/>
      <c r="C28" s="325" t="s">
        <v>548</v>
      </c>
      <c r="D28" s="207" t="s">
        <v>17</v>
      </c>
      <c r="E28" s="208">
        <f>E27*1.1</f>
        <v>726.00000000000011</v>
      </c>
      <c r="F28" s="208"/>
      <c r="G28" s="60"/>
      <c r="H28" s="60"/>
      <c r="I28" s="60"/>
      <c r="J28" s="60"/>
      <c r="K28" s="60"/>
      <c r="L28" s="314"/>
      <c r="M28" s="315"/>
      <c r="N28" s="315"/>
      <c r="O28" s="315"/>
      <c r="P28" s="315"/>
      <c r="Q28" s="315"/>
    </row>
    <row r="29" spans="1:17" s="26" customFormat="1" ht="56.25" x14ac:dyDescent="0.25">
      <c r="A29" s="743">
        <f>IF(COUNTBLANK(B29)=1," ",COUNTA($B$12:B29))</f>
        <v>10</v>
      </c>
      <c r="B29" s="646" t="str">
        <f>apjom!A88</f>
        <v>S-2 Gala ārsienas siltinājums 
Lodžiju sānsienu siltinājums</v>
      </c>
      <c r="C29" s="325" t="str">
        <f>apjom!B88</f>
        <v xml:space="preserve"> Apmetuma sistēma virs siltinājuma (AS-1 vai AS-2) siltinājums - akmensvate (Technofacade Cottage vai ekvivalents) λ=0,036W/m²K b=150mm, Līmjava, Grunts, Esošā siena - vieglbetona paneļi   b=410mm, vai lodžiju sānu paneļi                 b=160mm</v>
      </c>
      <c r="D29" s="204" t="str">
        <f>apjom!C88</f>
        <v>m²</v>
      </c>
      <c r="E29" s="204">
        <f>apjom!D88</f>
        <v>698</v>
      </c>
      <c r="F29" s="208"/>
      <c r="G29" s="60"/>
      <c r="H29" s="60"/>
      <c r="I29" s="15"/>
      <c r="J29" s="15"/>
      <c r="K29" s="60"/>
      <c r="L29" s="314"/>
      <c r="M29" s="315"/>
      <c r="N29" s="315"/>
      <c r="O29" s="315"/>
      <c r="P29" s="315"/>
      <c r="Q29" s="315"/>
    </row>
    <row r="30" spans="1:17" s="26" customFormat="1" ht="22.5" x14ac:dyDescent="0.25">
      <c r="A30" s="743" t="str">
        <f>IF(COUNTBLANK(B30)=1," ",COUNTA($B$12:B30))</f>
        <v xml:space="preserve"> </v>
      </c>
      <c r="B30" s="646"/>
      <c r="C30" s="325" t="s">
        <v>548</v>
      </c>
      <c r="D30" s="207" t="s">
        <v>17</v>
      </c>
      <c r="E30" s="208">
        <f>E29*F30</f>
        <v>781.7600000000001</v>
      </c>
      <c r="F30" s="496">
        <v>1.1200000000000001</v>
      </c>
      <c r="G30" s="60"/>
      <c r="H30" s="60"/>
      <c r="I30" s="15"/>
      <c r="J30" s="15"/>
      <c r="K30" s="60"/>
      <c r="L30" s="314"/>
      <c r="M30" s="315"/>
      <c r="N30" s="315"/>
      <c r="O30" s="315"/>
      <c r="P30" s="315"/>
      <c r="Q30" s="315"/>
    </row>
    <row r="31" spans="1:17" s="26" customFormat="1" ht="33.75" x14ac:dyDescent="0.25">
      <c r="A31" s="743">
        <f>IF(COUNTBLANK(B31)=1," ",COUNTA($B$12:B31))</f>
        <v>11</v>
      </c>
      <c r="B31" s="646" t="str">
        <f>apjom!A92</f>
        <v>S7 sienas gali</v>
      </c>
      <c r="C31" s="325" t="str">
        <f>apjom!B92</f>
        <v>Apmetuma sistēma virs siltinājuma ( AS-2) Putupolistirola plâksne, ekvivalnets Tenapors NEO EPS 100 λ=0,031 W/m²×K    b=50mm, Lîmjava, Gruntējums. Esoša siena  b=250mm</v>
      </c>
      <c r="D31" s="204" t="str">
        <f>apjom!C92</f>
        <v>m²</v>
      </c>
      <c r="E31" s="204">
        <f>apjom!D92</f>
        <v>88.800000000000011</v>
      </c>
      <c r="F31" s="208"/>
      <c r="G31" s="60"/>
      <c r="H31" s="60"/>
      <c r="I31" s="15"/>
      <c r="J31" s="15"/>
      <c r="K31" s="60"/>
      <c r="L31" s="314"/>
      <c r="M31" s="315"/>
      <c r="N31" s="315"/>
      <c r="O31" s="315"/>
      <c r="P31" s="315"/>
      <c r="Q31" s="315"/>
    </row>
    <row r="32" spans="1:17" s="26" customFormat="1" ht="22.5" x14ac:dyDescent="0.25">
      <c r="A32" s="743" t="str">
        <f>IF(COUNTBLANK(B32)=1," ",COUNTA($B$12:B32))</f>
        <v xml:space="preserve"> </v>
      </c>
      <c r="B32" s="646"/>
      <c r="C32" s="325" t="s">
        <v>867</v>
      </c>
      <c r="D32" s="207" t="s">
        <v>17</v>
      </c>
      <c r="E32" s="208">
        <f>E31*F32</f>
        <v>99.456000000000017</v>
      </c>
      <c r="F32" s="496">
        <v>1.1200000000000001</v>
      </c>
      <c r="G32" s="60"/>
      <c r="H32" s="60"/>
      <c r="I32" s="15"/>
      <c r="J32" s="15"/>
      <c r="K32" s="60"/>
      <c r="L32" s="314"/>
      <c r="M32" s="315"/>
      <c r="N32" s="315"/>
      <c r="O32" s="315"/>
      <c r="P32" s="315"/>
      <c r="Q32" s="315"/>
    </row>
    <row r="33" spans="1:17" s="27" customFormat="1" ht="45" x14ac:dyDescent="0.25">
      <c r="A33" s="743">
        <f>IF(COUNTBLANK(B33)=1," ",COUNTA($B$12:B33))</f>
        <v>12</v>
      </c>
      <c r="B33" s="646" t="str">
        <f>apjom!A93</f>
        <v>S8 ieejas mezgla sienu siltinâjums</v>
      </c>
      <c r="C33" s="646" t="str">
        <f>apjom!B93</f>
        <v>Apmetuma sistēma virs siltinājuma (AS-3) Siltinājums - SPU materiāls (Kooltherm K5 vai ekvivalents,  λ=0,021W/mK) b=70mm. Līmjava. Gruntējums. Esoša betona vai ķieģeļu mūra siena  b=250*mm</v>
      </c>
      <c r="D33" s="204" t="str">
        <f>apjom!C93</f>
        <v>m²</v>
      </c>
      <c r="E33" s="204">
        <f>apjom!D93</f>
        <v>25.199999999999996</v>
      </c>
      <c r="F33" s="208"/>
      <c r="G33" s="60"/>
      <c r="H33" s="60"/>
      <c r="I33" s="60"/>
      <c r="J33" s="60"/>
      <c r="K33" s="60"/>
      <c r="L33" s="314"/>
      <c r="M33" s="315"/>
      <c r="N33" s="315"/>
      <c r="O33" s="315"/>
      <c r="P33" s="315"/>
      <c r="Q33" s="315"/>
    </row>
    <row r="34" spans="1:17" s="27" customFormat="1" x14ac:dyDescent="0.25">
      <c r="A34" s="743" t="str">
        <f>IF(COUNTBLANK(B34)=1," ",COUNTA($B$12:B34))</f>
        <v xml:space="preserve"> </v>
      </c>
      <c r="B34" s="646"/>
      <c r="C34" s="646" t="s">
        <v>570</v>
      </c>
      <c r="D34" s="207" t="s">
        <v>17</v>
      </c>
      <c r="E34" s="208">
        <f>E33*F34</f>
        <v>28.223999999999997</v>
      </c>
      <c r="F34" s="496">
        <v>1.1200000000000001</v>
      </c>
      <c r="G34" s="60"/>
      <c r="H34" s="60"/>
      <c r="I34" s="60"/>
      <c r="J34" s="60"/>
      <c r="K34" s="60"/>
      <c r="L34" s="314"/>
      <c r="M34" s="315"/>
      <c r="N34" s="315"/>
      <c r="O34" s="315"/>
      <c r="P34" s="315"/>
      <c r="Q34" s="315"/>
    </row>
    <row r="35" spans="1:17" s="27" customFormat="1" ht="45" x14ac:dyDescent="0.25">
      <c r="A35" s="743">
        <f>IF(COUNTBLANK(B35)=1," ",COUNTA($B$12:B35))</f>
        <v>13</v>
      </c>
      <c r="B35" s="646" t="str">
        <f>apjom!A97</f>
        <v>P5 lodžiju paneļu apakšas siltinājums
1.stāvā</v>
      </c>
      <c r="C35" s="646" t="str">
        <f>apjom!B97</f>
        <v>Esošs dzelzsbetona lodžijas panelis, Gruntējums, Līmjava             Siltinājums -akmens vate (Technofacade Optima vai ekvivalents; λ=0,037W/mK) b=50mm,  (dobuma vietā - 2x50mm)</v>
      </c>
      <c r="D35" s="204" t="str">
        <f>apjom!C97</f>
        <v>m²</v>
      </c>
      <c r="E35" s="204">
        <f>apjom!D97</f>
        <v>130</v>
      </c>
      <c r="F35" s="208"/>
      <c r="G35" s="60"/>
      <c r="H35" s="60"/>
      <c r="I35" s="60"/>
      <c r="J35" s="60"/>
      <c r="K35" s="60"/>
      <c r="L35" s="314"/>
      <c r="M35" s="315"/>
      <c r="N35" s="315"/>
      <c r="O35" s="315"/>
      <c r="P35" s="315"/>
      <c r="Q35" s="315"/>
    </row>
    <row r="36" spans="1:17" s="27" customFormat="1" ht="22.5" x14ac:dyDescent="0.25">
      <c r="A36" s="743" t="str">
        <f>IF(COUNTBLANK(B36)=1," ",COUNTA($B$12:B36))</f>
        <v xml:space="preserve"> </v>
      </c>
      <c r="B36" s="646"/>
      <c r="C36" s="325" t="s">
        <v>552</v>
      </c>
      <c r="D36" s="207" t="s">
        <v>17</v>
      </c>
      <c r="E36" s="208">
        <f>E35*F36</f>
        <v>145.60000000000002</v>
      </c>
      <c r="F36" s="496">
        <v>1.1200000000000001</v>
      </c>
      <c r="G36" s="60"/>
      <c r="H36" s="60"/>
      <c r="I36" s="60"/>
      <c r="J36" s="60"/>
      <c r="K36" s="60"/>
      <c r="L36" s="314"/>
      <c r="M36" s="315"/>
      <c r="N36" s="315"/>
      <c r="O36" s="315"/>
      <c r="P36" s="315"/>
      <c r="Q36" s="315"/>
    </row>
    <row r="37" spans="1:17" s="27" customFormat="1" ht="33.75" x14ac:dyDescent="0.25">
      <c r="A37" s="743" t="str">
        <f>IF(COUNTBLANK(B37)=1," ",COUNTA($B$12:B37))</f>
        <v xml:space="preserve"> </v>
      </c>
      <c r="B37" s="204"/>
      <c r="C37" s="325" t="s">
        <v>235</v>
      </c>
      <c r="D37" s="204" t="s">
        <v>201</v>
      </c>
      <c r="E37" s="655">
        <f>SUM(E27+E29+E35)*F37</f>
        <v>8928</v>
      </c>
      <c r="F37" s="236">
        <v>6</v>
      </c>
      <c r="G37" s="60"/>
      <c r="H37" s="60"/>
      <c r="I37" s="60"/>
      <c r="J37" s="60"/>
      <c r="K37" s="60"/>
      <c r="L37" s="314"/>
      <c r="M37" s="315"/>
      <c r="N37" s="315"/>
      <c r="O37" s="315"/>
      <c r="P37" s="315"/>
      <c r="Q37" s="315"/>
    </row>
    <row r="38" spans="1:17" s="140" customFormat="1" ht="33.75" x14ac:dyDescent="0.25">
      <c r="A38" s="743" t="str">
        <f>IF(COUNTBLANK(B38)=1," ",COUNTA($B$12:B38))</f>
        <v xml:space="preserve"> </v>
      </c>
      <c r="B38" s="204"/>
      <c r="C38" s="325" t="s">
        <v>236</v>
      </c>
      <c r="D38" s="204" t="s">
        <v>201</v>
      </c>
      <c r="E38" s="655">
        <f>(E31+E33)*F38</f>
        <v>684</v>
      </c>
      <c r="F38" s="377">
        <v>6</v>
      </c>
      <c r="G38" s="10"/>
      <c r="H38" s="136"/>
      <c r="I38" s="10"/>
      <c r="J38" s="58"/>
      <c r="K38" s="743"/>
      <c r="L38" s="314"/>
      <c r="M38" s="315"/>
      <c r="N38" s="315"/>
      <c r="O38" s="315"/>
      <c r="P38" s="315"/>
      <c r="Q38" s="315"/>
    </row>
    <row r="39" spans="1:17" s="140" customFormat="1" ht="56.25" x14ac:dyDescent="0.25">
      <c r="A39" s="743">
        <f>IF(COUNTBLANK(B39)=1," ",COUNTA($B$12:B39))</f>
        <v>14</v>
      </c>
      <c r="B39" s="206" t="s">
        <v>14</v>
      </c>
      <c r="C39" s="327" t="s">
        <v>172</v>
      </c>
      <c r="D39" s="204" t="s">
        <v>17</v>
      </c>
      <c r="E39" s="650">
        <f>E24</f>
        <v>1602</v>
      </c>
      <c r="F39" s="10"/>
      <c r="G39" s="211"/>
      <c r="H39" s="211"/>
      <c r="I39" s="212"/>
      <c r="J39" s="212"/>
      <c r="K39" s="211"/>
      <c r="L39" s="314"/>
      <c r="M39" s="315"/>
      <c r="N39" s="315"/>
      <c r="O39" s="315"/>
      <c r="P39" s="315"/>
      <c r="Q39" s="315"/>
    </row>
    <row r="40" spans="1:17" s="27" customFormat="1" x14ac:dyDescent="0.25">
      <c r="A40" s="743" t="str">
        <f>IF(COUNTBLANK(B40)=1," ",COUNTA($B$12:B40))</f>
        <v xml:space="preserve"> </v>
      </c>
      <c r="B40" s="206"/>
      <c r="C40" s="327" t="s">
        <v>173</v>
      </c>
      <c r="D40" s="654" t="s">
        <v>23</v>
      </c>
      <c r="E40" s="650">
        <f>E39*F40</f>
        <v>8010</v>
      </c>
      <c r="F40" s="743">
        <v>5</v>
      </c>
      <c r="G40" s="211"/>
      <c r="H40" s="211"/>
      <c r="I40" s="211"/>
      <c r="J40" s="211"/>
      <c r="K40" s="211"/>
      <c r="L40" s="314"/>
      <c r="M40" s="315"/>
      <c r="N40" s="315"/>
      <c r="O40" s="315"/>
      <c r="P40" s="315"/>
      <c r="Q40" s="315"/>
    </row>
    <row r="41" spans="1:17" s="27" customFormat="1" x14ac:dyDescent="0.25">
      <c r="A41" s="743" t="str">
        <f>IF(COUNTBLANK(B41)=1," ",COUNTA($B$12:B41))</f>
        <v xml:space="preserve"> </v>
      </c>
      <c r="B41" s="206"/>
      <c r="C41" s="327" t="s">
        <v>197</v>
      </c>
      <c r="D41" s="656" t="s">
        <v>17</v>
      </c>
      <c r="E41" s="650">
        <f>E39*F41</f>
        <v>1762.2</v>
      </c>
      <c r="F41" s="436">
        <v>1.1000000000000001</v>
      </c>
      <c r="G41" s="211"/>
      <c r="H41" s="211"/>
      <c r="I41" s="211"/>
      <c r="J41" s="211"/>
      <c r="K41" s="211"/>
      <c r="L41" s="314"/>
      <c r="M41" s="315"/>
      <c r="N41" s="315"/>
      <c r="O41" s="315"/>
      <c r="P41" s="315"/>
      <c r="Q41" s="315"/>
    </row>
    <row r="42" spans="1:17" s="27" customFormat="1" x14ac:dyDescent="0.25">
      <c r="A42" s="743" t="str">
        <f>IF(COUNTBLANK(B42)=1," ",COUNTA($B$12:B42))</f>
        <v xml:space="preserve"> </v>
      </c>
      <c r="B42" s="210"/>
      <c r="C42" s="327" t="s">
        <v>174</v>
      </c>
      <c r="D42" s="654" t="s">
        <v>23</v>
      </c>
      <c r="E42" s="650">
        <f>E39*F42</f>
        <v>480.59999999999997</v>
      </c>
      <c r="F42" s="657">
        <v>0.3</v>
      </c>
      <c r="G42" s="211"/>
      <c r="H42" s="211"/>
      <c r="I42" s="211"/>
      <c r="J42" s="211"/>
      <c r="K42" s="211"/>
      <c r="L42" s="314"/>
      <c r="M42" s="315"/>
      <c r="N42" s="315"/>
      <c r="O42" s="315"/>
      <c r="P42" s="315"/>
      <c r="Q42" s="315"/>
    </row>
    <row r="43" spans="1:17" s="36" customFormat="1" x14ac:dyDescent="0.25">
      <c r="A43" s="743" t="str">
        <f>IF(COUNTBLANK(B43)=1," ",COUNTA($B$12:B43))</f>
        <v xml:space="preserve"> </v>
      </c>
      <c r="B43" s="210"/>
      <c r="C43" s="327" t="s">
        <v>175</v>
      </c>
      <c r="D43" s="654" t="s">
        <v>23</v>
      </c>
      <c r="E43" s="650">
        <f>E39*F43</f>
        <v>8010</v>
      </c>
      <c r="F43" s="136">
        <v>5</v>
      </c>
      <c r="G43" s="211"/>
      <c r="H43" s="211"/>
      <c r="I43" s="211"/>
      <c r="J43" s="211"/>
      <c r="K43" s="211"/>
      <c r="L43" s="314"/>
      <c r="M43" s="315"/>
      <c r="N43" s="315"/>
      <c r="O43" s="315"/>
      <c r="P43" s="315"/>
      <c r="Q43" s="315"/>
    </row>
    <row r="44" spans="1:17" s="36" customFormat="1" ht="22.5" x14ac:dyDescent="0.25">
      <c r="A44" s="743" t="str">
        <f>IF(COUNTBLANK(B44)=1," ",COUNTA($B$12:B44))</f>
        <v xml:space="preserve"> </v>
      </c>
      <c r="B44" s="210"/>
      <c r="C44" s="327" t="s">
        <v>234</v>
      </c>
      <c r="D44" s="654" t="s">
        <v>23</v>
      </c>
      <c r="E44" s="650">
        <f>E39*F44</f>
        <v>5927.4000000000005</v>
      </c>
      <c r="F44" s="136">
        <v>3.7</v>
      </c>
      <c r="G44" s="211"/>
      <c r="H44" s="211"/>
      <c r="I44" s="211"/>
      <c r="J44" s="211"/>
      <c r="K44" s="211"/>
      <c r="L44" s="314"/>
      <c r="M44" s="315"/>
      <c r="N44" s="315"/>
      <c r="O44" s="315"/>
      <c r="P44" s="315"/>
      <c r="Q44" s="315"/>
    </row>
    <row r="45" spans="1:17" s="162" customFormat="1" x14ac:dyDescent="0.25">
      <c r="A45" s="743" t="str">
        <f>IF(COUNTBLANK(B45)=1," ",COUNTA($B$12:B45))</f>
        <v xml:space="preserve"> </v>
      </c>
      <c r="B45" s="210"/>
      <c r="C45" s="327" t="s">
        <v>38</v>
      </c>
      <c r="D45" s="204" t="s">
        <v>211</v>
      </c>
      <c r="E45" s="10">
        <f>ROUNDUP(E39*F45,0)</f>
        <v>49</v>
      </c>
      <c r="F45" s="211">
        <v>0.03</v>
      </c>
      <c r="G45" s="211"/>
      <c r="H45" s="211"/>
      <c r="I45" s="211"/>
      <c r="J45" s="211"/>
      <c r="K45" s="60"/>
      <c r="L45" s="314"/>
      <c r="M45" s="315"/>
      <c r="N45" s="315"/>
      <c r="O45" s="315"/>
      <c r="P45" s="315"/>
      <c r="Q45" s="315"/>
    </row>
    <row r="46" spans="1:17" s="162" customFormat="1" ht="22.5" x14ac:dyDescent="0.25">
      <c r="A46" s="743">
        <f>IF(COUNTBLANK(B46)=1," ",COUNTA($B$12:B46))</f>
        <v>15</v>
      </c>
      <c r="B46" s="206" t="s">
        <v>14</v>
      </c>
      <c r="C46" s="330" t="s">
        <v>861</v>
      </c>
      <c r="D46" s="656" t="s">
        <v>17</v>
      </c>
      <c r="E46" s="658">
        <f>apjom!M37</f>
        <v>454.28100000000001</v>
      </c>
      <c r="F46" s="136"/>
      <c r="G46" s="211"/>
      <c r="H46" s="211"/>
      <c r="I46" s="212"/>
      <c r="J46" s="212"/>
      <c r="K46" s="211"/>
      <c r="L46" s="314"/>
      <c r="M46" s="315"/>
      <c r="N46" s="315"/>
      <c r="O46" s="315"/>
      <c r="P46" s="315"/>
      <c r="Q46" s="315"/>
    </row>
    <row r="47" spans="1:17" s="162" customFormat="1" x14ac:dyDescent="0.25">
      <c r="A47" s="743" t="str">
        <f>IF(COUNTBLANK(B47)=1," ",COUNTA($B$12:B47))</f>
        <v xml:space="preserve"> </v>
      </c>
      <c r="B47" s="210"/>
      <c r="C47" s="327" t="s">
        <v>170</v>
      </c>
      <c r="D47" s="210" t="s">
        <v>23</v>
      </c>
      <c r="E47" s="211">
        <f>E46*F47</f>
        <v>136.2843</v>
      </c>
      <c r="F47" s="211">
        <v>0.3</v>
      </c>
      <c r="G47" s="211"/>
      <c r="H47" s="211"/>
      <c r="I47" s="211"/>
      <c r="J47" s="211"/>
      <c r="K47" s="211"/>
      <c r="L47" s="314"/>
      <c r="M47" s="315"/>
      <c r="N47" s="315"/>
      <c r="O47" s="315"/>
      <c r="P47" s="315"/>
      <c r="Q47" s="315"/>
    </row>
    <row r="48" spans="1:17" s="162" customFormat="1" x14ac:dyDescent="0.25">
      <c r="A48" s="743" t="str">
        <f>IF(COUNTBLANK(B48)=1," ",COUNTA($B$12:B48))</f>
        <v xml:space="preserve"> </v>
      </c>
      <c r="B48" s="210"/>
      <c r="C48" s="327" t="s">
        <v>29</v>
      </c>
      <c r="D48" s="210" t="s">
        <v>17</v>
      </c>
      <c r="E48" s="211">
        <f>E46*F48</f>
        <v>499.70910000000003</v>
      </c>
      <c r="F48" s="136">
        <v>1.1000000000000001</v>
      </c>
      <c r="G48" s="211"/>
      <c r="H48" s="211"/>
      <c r="I48" s="211"/>
      <c r="J48" s="211"/>
      <c r="K48" s="211"/>
      <c r="L48" s="314"/>
      <c r="M48" s="315"/>
      <c r="N48" s="315"/>
      <c r="O48" s="315"/>
      <c r="P48" s="315"/>
      <c r="Q48" s="315"/>
    </row>
    <row r="49" spans="1:17" s="162" customFormat="1" x14ac:dyDescent="0.25">
      <c r="A49" s="743" t="str">
        <f>IF(COUNTBLANK(B49)=1," ",COUNTA($B$12:B49))</f>
        <v xml:space="preserve"> </v>
      </c>
      <c r="B49" s="210"/>
      <c r="C49" s="327" t="s">
        <v>176</v>
      </c>
      <c r="D49" s="210" t="s">
        <v>23</v>
      </c>
      <c r="E49" s="211">
        <f>E46*F49</f>
        <v>2044.2645</v>
      </c>
      <c r="F49" s="436">
        <v>4.5</v>
      </c>
      <c r="G49" s="211"/>
      <c r="H49" s="211"/>
      <c r="I49" s="211"/>
      <c r="J49" s="211"/>
      <c r="K49" s="211"/>
      <c r="L49" s="314"/>
      <c r="M49" s="315"/>
      <c r="N49" s="315"/>
      <c r="O49" s="315"/>
      <c r="P49" s="315"/>
      <c r="Q49" s="315"/>
    </row>
    <row r="50" spans="1:17" s="162" customFormat="1" ht="33.75" x14ac:dyDescent="0.25">
      <c r="A50" s="743" t="str">
        <f>IF(COUNTBLANK(B50)=1," ",COUNTA($B$12:B50))</f>
        <v xml:space="preserve"> </v>
      </c>
      <c r="B50" s="210"/>
      <c r="C50" s="327" t="s">
        <v>237</v>
      </c>
      <c r="D50" s="204" t="s">
        <v>32</v>
      </c>
      <c r="E50" s="211">
        <f>E46*F50</f>
        <v>2271.4050000000002</v>
      </c>
      <c r="F50" s="657">
        <v>5</v>
      </c>
      <c r="G50" s="211"/>
      <c r="H50" s="211"/>
      <c r="I50" s="211"/>
      <c r="J50" s="211"/>
      <c r="K50" s="211"/>
      <c r="L50" s="314"/>
      <c r="M50" s="315"/>
      <c r="N50" s="315"/>
      <c r="O50" s="315"/>
      <c r="P50" s="315"/>
      <c r="Q50" s="315"/>
    </row>
    <row r="51" spans="1:17" s="162" customFormat="1" x14ac:dyDescent="0.25">
      <c r="A51" s="743" t="str">
        <f>IF(COUNTBLANK(B51)=1," ",COUNTA($B$12:B51))</f>
        <v xml:space="preserve"> </v>
      </c>
      <c r="B51" s="210"/>
      <c r="C51" s="327" t="s">
        <v>175</v>
      </c>
      <c r="D51" s="210" t="s">
        <v>23</v>
      </c>
      <c r="E51" s="211">
        <f>E46*F51</f>
        <v>2271.4050000000002</v>
      </c>
      <c r="F51" s="136">
        <v>5</v>
      </c>
      <c r="G51" s="211"/>
      <c r="H51" s="211"/>
      <c r="I51" s="211"/>
      <c r="J51" s="211"/>
      <c r="K51" s="211"/>
      <c r="L51" s="314"/>
      <c r="M51" s="315"/>
      <c r="N51" s="315"/>
      <c r="O51" s="315"/>
      <c r="P51" s="315"/>
      <c r="Q51" s="315"/>
    </row>
    <row r="52" spans="1:17" s="162" customFormat="1" x14ac:dyDescent="0.25">
      <c r="A52" s="743" t="str">
        <f>IF(COUNTBLANK(B52)=1," ",COUNTA($B$12:B52))</f>
        <v xml:space="preserve"> </v>
      </c>
      <c r="B52" s="210"/>
      <c r="C52" s="327" t="s">
        <v>197</v>
      </c>
      <c r="D52" s="210" t="s">
        <v>17</v>
      </c>
      <c r="E52" s="211">
        <f>E46*F52</f>
        <v>499.70910000000003</v>
      </c>
      <c r="F52" s="136">
        <v>1.1000000000000001</v>
      </c>
      <c r="G52" s="136"/>
      <c r="H52" s="136"/>
      <c r="I52" s="136"/>
      <c r="J52" s="136"/>
      <c r="K52" s="136"/>
      <c r="L52" s="314"/>
      <c r="M52" s="315"/>
      <c r="N52" s="315"/>
      <c r="O52" s="315"/>
      <c r="P52" s="315"/>
      <c r="Q52" s="315"/>
    </row>
    <row r="53" spans="1:17" s="162" customFormat="1" x14ac:dyDescent="0.25">
      <c r="A53" s="743" t="str">
        <f>IF(COUNTBLANK(B53)=1," ",COUNTA($B$12:B53))</f>
        <v xml:space="preserve"> </v>
      </c>
      <c r="B53" s="210"/>
      <c r="C53" s="327" t="s">
        <v>174</v>
      </c>
      <c r="D53" s="654" t="s">
        <v>23</v>
      </c>
      <c r="E53" s="650">
        <f>E46*F53</f>
        <v>136.2843</v>
      </c>
      <c r="F53" s="657">
        <v>0.3</v>
      </c>
      <c r="G53" s="60"/>
      <c r="H53" s="60"/>
      <c r="I53" s="60"/>
      <c r="J53" s="60"/>
      <c r="K53" s="60"/>
      <c r="L53" s="314"/>
      <c r="M53" s="315"/>
      <c r="N53" s="315"/>
      <c r="O53" s="315"/>
      <c r="P53" s="315"/>
      <c r="Q53" s="315"/>
    </row>
    <row r="54" spans="1:17" s="162" customFormat="1" x14ac:dyDescent="0.25">
      <c r="A54" s="743" t="str">
        <f>IF(COUNTBLANK(B54)=1," ",COUNTA($B$12:B54))</f>
        <v xml:space="preserve"> </v>
      </c>
      <c r="B54" s="210"/>
      <c r="C54" s="327" t="s">
        <v>175</v>
      </c>
      <c r="D54" s="654" t="s">
        <v>23</v>
      </c>
      <c r="E54" s="650">
        <f>E46*F54</f>
        <v>2271.4050000000002</v>
      </c>
      <c r="F54" s="136">
        <v>5</v>
      </c>
      <c r="G54" s="60"/>
      <c r="H54" s="60"/>
      <c r="I54" s="60"/>
      <c r="J54" s="60"/>
      <c r="K54" s="60"/>
      <c r="L54" s="314"/>
      <c r="M54" s="315"/>
      <c r="N54" s="315"/>
      <c r="O54" s="315"/>
      <c r="P54" s="315"/>
      <c r="Q54" s="315"/>
    </row>
    <row r="55" spans="1:17" s="162" customFormat="1" ht="22.5" x14ac:dyDescent="0.25">
      <c r="A55" s="743" t="str">
        <f>IF(COUNTBLANK(B55)=1," ",COUNTA($B$12:B55))</f>
        <v xml:space="preserve"> </v>
      </c>
      <c r="B55" s="210"/>
      <c r="C55" s="327" t="s">
        <v>234</v>
      </c>
      <c r="D55" s="654" t="s">
        <v>23</v>
      </c>
      <c r="E55" s="650">
        <f>E46*F55</f>
        <v>1680.8397</v>
      </c>
      <c r="F55" s="136">
        <v>3.7</v>
      </c>
      <c r="G55" s="60"/>
      <c r="H55" s="60"/>
      <c r="I55" s="60"/>
      <c r="J55" s="60"/>
      <c r="K55" s="60"/>
      <c r="L55" s="314"/>
      <c r="M55" s="315"/>
      <c r="N55" s="315"/>
      <c r="O55" s="315"/>
      <c r="P55" s="315"/>
      <c r="Q55" s="315"/>
    </row>
    <row r="56" spans="1:17" s="162" customFormat="1" ht="22.5" x14ac:dyDescent="0.25">
      <c r="A56" s="743">
        <f>IF(COUNTBLANK(B56)=1," ",COUNTA($B$12:B56))</f>
        <v>16</v>
      </c>
      <c r="B56" s="206" t="s">
        <v>14</v>
      </c>
      <c r="C56" s="330" t="s">
        <v>713</v>
      </c>
      <c r="D56" s="656" t="s">
        <v>17</v>
      </c>
      <c r="E56" s="658">
        <f>apjom!D90+apjom!D91</f>
        <v>1460.8</v>
      </c>
      <c r="F56" s="136"/>
      <c r="G56" s="211"/>
      <c r="H56" s="211"/>
      <c r="I56" s="212"/>
      <c r="J56" s="212"/>
      <c r="K56" s="211"/>
      <c r="L56" s="314"/>
      <c r="M56" s="315"/>
      <c r="N56" s="315"/>
      <c r="O56" s="315"/>
      <c r="P56" s="315"/>
      <c r="Q56" s="315"/>
    </row>
    <row r="57" spans="1:17" s="162" customFormat="1" x14ac:dyDescent="0.25">
      <c r="A57" s="743" t="str">
        <f>IF(COUNTBLANK(B57)=1," ",COUNTA($B$12:B57))</f>
        <v xml:space="preserve"> </v>
      </c>
      <c r="B57" s="210"/>
      <c r="C57" s="327" t="s">
        <v>174</v>
      </c>
      <c r="D57" s="654" t="s">
        <v>23</v>
      </c>
      <c r="E57" s="650">
        <f>E56*F57</f>
        <v>438.23999999999995</v>
      </c>
      <c r="F57" s="657">
        <v>0.3</v>
      </c>
      <c r="G57" s="211"/>
      <c r="H57" s="211"/>
      <c r="I57" s="211"/>
      <c r="J57" s="211"/>
      <c r="K57" s="211"/>
      <c r="L57" s="314"/>
      <c r="M57" s="315"/>
      <c r="N57" s="315"/>
      <c r="O57" s="315"/>
      <c r="P57" s="315"/>
      <c r="Q57" s="315"/>
    </row>
    <row r="58" spans="1:17" s="162" customFormat="1" ht="22.5" x14ac:dyDescent="0.25">
      <c r="A58" s="743" t="str">
        <f>IF(COUNTBLANK(B58)=1," ",COUNTA($B$12:B58))</f>
        <v xml:space="preserve"> </v>
      </c>
      <c r="B58" s="210"/>
      <c r="C58" s="327" t="s">
        <v>234</v>
      </c>
      <c r="D58" s="654" t="s">
        <v>23</v>
      </c>
      <c r="E58" s="650">
        <f>E56*F58</f>
        <v>5404.96</v>
      </c>
      <c r="F58" s="136">
        <v>3.7</v>
      </c>
      <c r="G58" s="211"/>
      <c r="H58" s="211"/>
      <c r="I58" s="211"/>
      <c r="J58" s="211"/>
      <c r="K58" s="211"/>
      <c r="L58" s="314"/>
      <c r="M58" s="315"/>
      <c r="N58" s="315"/>
      <c r="O58" s="315"/>
      <c r="P58" s="315"/>
      <c r="Q58" s="315"/>
    </row>
    <row r="59" spans="1:17" s="162" customFormat="1" ht="22.5" x14ac:dyDescent="0.25">
      <c r="A59" s="743">
        <f>IF(COUNTBLANK(B59)=1," ",COUNTA($B$12:B59))</f>
        <v>17</v>
      </c>
      <c r="B59" s="206" t="s">
        <v>14</v>
      </c>
      <c r="C59" s="327" t="s">
        <v>204</v>
      </c>
      <c r="D59" s="210" t="s">
        <v>17</v>
      </c>
      <c r="E59" s="658">
        <f>apjom!E37*4*0.3*0.5</f>
        <v>342.59999999999997</v>
      </c>
      <c r="F59" s="211"/>
      <c r="G59" s="211"/>
      <c r="H59" s="211"/>
      <c r="I59" s="212"/>
      <c r="J59" s="212"/>
      <c r="K59" s="211"/>
      <c r="L59" s="314"/>
      <c r="M59" s="315"/>
      <c r="N59" s="315"/>
      <c r="O59" s="315"/>
      <c r="P59" s="315"/>
      <c r="Q59" s="315"/>
    </row>
    <row r="60" spans="1:17" s="162" customFormat="1" x14ac:dyDescent="0.25">
      <c r="A60" s="743" t="str">
        <f>IF(COUNTBLANK(B60)=1," ",COUNTA($B$12:B60))</f>
        <v xml:space="preserve"> </v>
      </c>
      <c r="B60" s="210"/>
      <c r="C60" s="327" t="s">
        <v>175</v>
      </c>
      <c r="D60" s="210" t="s">
        <v>23</v>
      </c>
      <c r="E60" s="211">
        <f>E61*F60</f>
        <v>1884.3000000000002</v>
      </c>
      <c r="F60" s="136">
        <v>5</v>
      </c>
      <c r="G60" s="136"/>
      <c r="H60" s="136"/>
      <c r="I60" s="136"/>
      <c r="J60" s="211"/>
      <c r="K60" s="136"/>
      <c r="L60" s="314"/>
      <c r="M60" s="315"/>
      <c r="N60" s="315"/>
      <c r="O60" s="315"/>
      <c r="P60" s="315"/>
      <c r="Q60" s="315"/>
    </row>
    <row r="61" spans="1:17" s="162" customFormat="1" x14ac:dyDescent="0.25">
      <c r="A61" s="743" t="str">
        <f>IF(COUNTBLANK(B61)=1," ",COUNTA($B$12:B61))</f>
        <v xml:space="preserve"> </v>
      </c>
      <c r="B61" s="210"/>
      <c r="C61" s="327" t="s">
        <v>197</v>
      </c>
      <c r="D61" s="210" t="s">
        <v>17</v>
      </c>
      <c r="E61" s="211">
        <f>E59*F61</f>
        <v>376.86</v>
      </c>
      <c r="F61" s="211">
        <v>1.1000000000000001</v>
      </c>
      <c r="G61" s="136"/>
      <c r="H61" s="136"/>
      <c r="I61" s="136"/>
      <c r="J61" s="211"/>
      <c r="K61" s="136"/>
      <c r="L61" s="314"/>
      <c r="M61" s="315"/>
      <c r="N61" s="315"/>
      <c r="O61" s="315"/>
      <c r="P61" s="315"/>
      <c r="Q61" s="315"/>
    </row>
    <row r="62" spans="1:17" s="162" customFormat="1" ht="45" x14ac:dyDescent="0.25">
      <c r="A62" s="743">
        <f>IF(COUNTBLANK(B62)=1," ",COUNTA($B$12:B62))</f>
        <v>18</v>
      </c>
      <c r="B62" s="206" t="s">
        <v>14</v>
      </c>
      <c r="C62" s="325" t="s">
        <v>768</v>
      </c>
      <c r="D62" s="210" t="s">
        <v>17</v>
      </c>
      <c r="E62" s="650">
        <f>0.3*0.5*4*apjom!E17</f>
        <v>138</v>
      </c>
      <c r="F62" s="136"/>
      <c r="G62" s="211"/>
      <c r="H62" s="211"/>
      <c r="I62" s="212"/>
      <c r="J62" s="212"/>
      <c r="K62" s="211"/>
      <c r="L62" s="314"/>
      <c r="M62" s="315"/>
      <c r="N62" s="315"/>
      <c r="O62" s="315"/>
      <c r="P62" s="315"/>
      <c r="Q62" s="315"/>
    </row>
    <row r="63" spans="1:17" s="39" customFormat="1" x14ac:dyDescent="0.25">
      <c r="A63" s="743" t="str">
        <f>IF(COUNTBLANK(B63)=1," ",COUNTA($B$12:B63))</f>
        <v xml:space="preserve"> </v>
      </c>
      <c r="B63" s="210"/>
      <c r="C63" s="327" t="s">
        <v>175</v>
      </c>
      <c r="D63" s="210" t="s">
        <v>23</v>
      </c>
      <c r="E63" s="211">
        <f>E62*F63</f>
        <v>690</v>
      </c>
      <c r="F63" s="436">
        <v>5</v>
      </c>
      <c r="G63" s="136"/>
      <c r="H63" s="136"/>
      <c r="I63" s="136"/>
      <c r="J63" s="211"/>
      <c r="K63" s="136"/>
      <c r="L63" s="314"/>
      <c r="M63" s="315"/>
      <c r="N63" s="315"/>
      <c r="O63" s="315"/>
      <c r="P63" s="315"/>
      <c r="Q63" s="315"/>
    </row>
    <row r="64" spans="1:17" s="39" customFormat="1" x14ac:dyDescent="0.25">
      <c r="A64" s="743" t="str">
        <f>IF(COUNTBLANK(B64)=1," ",COUNTA($B$12:B64))</f>
        <v xml:space="preserve"> </v>
      </c>
      <c r="B64" s="210"/>
      <c r="C64" s="327" t="s">
        <v>197</v>
      </c>
      <c r="D64" s="210" t="s">
        <v>17</v>
      </c>
      <c r="E64" s="209">
        <f>E62*F64</f>
        <v>151.80000000000001</v>
      </c>
      <c r="F64" s="657">
        <v>1.1000000000000001</v>
      </c>
      <c r="G64" s="136"/>
      <c r="H64" s="136"/>
      <c r="I64" s="136"/>
      <c r="J64" s="136"/>
      <c r="K64" s="136"/>
      <c r="L64" s="314"/>
      <c r="M64" s="315"/>
      <c r="N64" s="315"/>
      <c r="O64" s="315"/>
      <c r="P64" s="315"/>
      <c r="Q64" s="315"/>
    </row>
    <row r="65" spans="1:17" s="27" customFormat="1" x14ac:dyDescent="0.25">
      <c r="A65" s="743">
        <f>IF(COUNTBLANK(B65)=1," ",COUNTA($B$12:B65))</f>
        <v>19</v>
      </c>
      <c r="B65" s="206" t="s">
        <v>14</v>
      </c>
      <c r="C65" s="325" t="s">
        <v>205</v>
      </c>
      <c r="D65" s="204" t="s">
        <v>16</v>
      </c>
      <c r="E65" s="650">
        <f>apjom!K37*1.1</f>
        <v>3501.2340000000004</v>
      </c>
      <c r="F65" s="211"/>
      <c r="G65" s="136"/>
      <c r="H65" s="211"/>
      <c r="I65" s="12"/>
      <c r="J65" s="136"/>
      <c r="K65" s="136"/>
      <c r="L65" s="314"/>
      <c r="M65" s="315"/>
      <c r="N65" s="315"/>
      <c r="O65" s="315"/>
      <c r="P65" s="315"/>
      <c r="Q65" s="315"/>
    </row>
    <row r="66" spans="1:17" s="27" customFormat="1" x14ac:dyDescent="0.25">
      <c r="A66" s="743">
        <f>IF(COUNTBLANK(B66)=1," ",COUNTA($B$12:B66))</f>
        <v>20</v>
      </c>
      <c r="B66" s="206" t="s">
        <v>14</v>
      </c>
      <c r="C66" s="325" t="s">
        <v>206</v>
      </c>
      <c r="D66" s="204" t="s">
        <v>16</v>
      </c>
      <c r="E66" s="650">
        <f>apjom!L37*1.1</f>
        <v>1695.144</v>
      </c>
      <c r="F66" s="211"/>
      <c r="G66" s="136"/>
      <c r="H66" s="211"/>
      <c r="I66" s="12"/>
      <c r="J66" s="136"/>
      <c r="K66" s="136"/>
      <c r="L66" s="314"/>
      <c r="M66" s="315"/>
      <c r="N66" s="315"/>
      <c r="O66" s="315"/>
      <c r="P66" s="315"/>
      <c r="Q66" s="315"/>
    </row>
    <row r="67" spans="1:17" s="27" customFormat="1" x14ac:dyDescent="0.25">
      <c r="A67" s="743">
        <f>IF(COUNTBLANK(B67)=1," ",COUNTA($B$12:B67))</f>
        <v>21</v>
      </c>
      <c r="B67" s="206" t="s">
        <v>14</v>
      </c>
      <c r="C67" s="325" t="str">
        <f>apjom!Q2</f>
        <v>Stūra profils  EC S vai ekvivalents</v>
      </c>
      <c r="D67" s="204" t="s">
        <v>16</v>
      </c>
      <c r="E67" s="650">
        <f>apjom!Q37</f>
        <v>2273.5600000000004</v>
      </c>
      <c r="F67" s="136"/>
      <c r="G67" s="136"/>
      <c r="H67" s="211"/>
      <c r="I67" s="12"/>
      <c r="J67" s="136"/>
      <c r="K67" s="136"/>
      <c r="L67" s="314"/>
      <c r="M67" s="315"/>
      <c r="N67" s="315"/>
      <c r="O67" s="315"/>
      <c r="P67" s="315"/>
      <c r="Q67" s="315"/>
    </row>
    <row r="68" spans="1:17" s="27" customFormat="1" x14ac:dyDescent="0.25">
      <c r="A68" s="743">
        <f>IF(COUNTBLANK(B68)=1," ",COUNTA($B$12:B68))</f>
        <v>22</v>
      </c>
      <c r="B68" s="206" t="s">
        <v>14</v>
      </c>
      <c r="C68" s="325" t="str">
        <f>apjom!R2</f>
        <v>Loga pielaiduma profils EW vai ekvivalents</v>
      </c>
      <c r="D68" s="204" t="s">
        <v>16</v>
      </c>
      <c r="E68" s="653">
        <f>apjom!Q37</f>
        <v>2273.5600000000004</v>
      </c>
      <c r="F68" s="136"/>
      <c r="G68" s="136"/>
      <c r="H68" s="211"/>
      <c r="I68" s="12"/>
      <c r="J68" s="136"/>
      <c r="K68" s="136"/>
      <c r="L68" s="314"/>
      <c r="M68" s="315"/>
      <c r="N68" s="315"/>
      <c r="O68" s="315"/>
      <c r="P68" s="315"/>
      <c r="Q68" s="315"/>
    </row>
    <row r="69" spans="1:17" s="51" customFormat="1" x14ac:dyDescent="0.25">
      <c r="A69" s="743">
        <f>IF(COUNTBLANK(B69)=1," ",COUNTA($B$12:B69))</f>
        <v>23</v>
      </c>
      <c r="B69" s="206" t="s">
        <v>14</v>
      </c>
      <c r="C69" s="325" t="str">
        <f>apjom!S2</f>
        <v>Stūra lāsenis ED CO2 vai ekvivalents</v>
      </c>
      <c r="D69" s="659" t="s">
        <v>16</v>
      </c>
      <c r="E69" s="653">
        <f>apjom!R37</f>
        <v>2273.5600000000004</v>
      </c>
      <c r="F69" s="136"/>
      <c r="G69" s="136"/>
      <c r="H69" s="211"/>
      <c r="I69" s="12"/>
      <c r="J69" s="136"/>
      <c r="K69" s="136"/>
      <c r="L69" s="314"/>
      <c r="M69" s="315"/>
      <c r="N69" s="315"/>
      <c r="O69" s="315"/>
      <c r="P69" s="315"/>
      <c r="Q69" s="315"/>
    </row>
    <row r="70" spans="1:17" s="51" customFormat="1" x14ac:dyDescent="0.25">
      <c r="A70" s="743">
        <f>IF(COUNTBLANK(B70)=1," ",COUNTA($B$12:B70))</f>
        <v>24</v>
      </c>
      <c r="B70" s="206" t="s">
        <v>14</v>
      </c>
      <c r="C70" s="325" t="str">
        <f>apjom!T2</f>
        <v>Palodzes montāžas profils EW US01 vai ekvivalents</v>
      </c>
      <c r="D70" s="659" t="s">
        <v>16</v>
      </c>
      <c r="E70" s="653">
        <f>apjom!S37</f>
        <v>909.38000000000011</v>
      </c>
      <c r="F70" s="136"/>
      <c r="G70" s="136"/>
      <c r="H70" s="211"/>
      <c r="I70" s="12"/>
      <c r="J70" s="136"/>
      <c r="K70" s="136"/>
      <c r="L70" s="314"/>
      <c r="M70" s="315"/>
      <c r="N70" s="315"/>
      <c r="O70" s="315"/>
      <c r="P70" s="315"/>
      <c r="Q70" s="315"/>
    </row>
    <row r="71" spans="1:17" s="51" customFormat="1" x14ac:dyDescent="0.25">
      <c r="A71" s="743">
        <f>IF(COUNTBLANK(B71)=1," ",COUNTA($B$12:B71))</f>
        <v>25</v>
      </c>
      <c r="B71" s="206" t="s">
        <v>14</v>
      </c>
      <c r="C71" s="331" t="str">
        <f>apjom!U2</f>
        <v>Cokola profils EB PVC VARIO 220 vai ekvivalents</v>
      </c>
      <c r="D71" s="204" t="s">
        <v>16</v>
      </c>
      <c r="E71" s="209">
        <f>apjom!T37</f>
        <v>789.26</v>
      </c>
      <c r="F71" s="136"/>
      <c r="G71" s="136"/>
      <c r="H71" s="211"/>
      <c r="I71" s="12"/>
      <c r="J71" s="136"/>
      <c r="K71" s="136"/>
      <c r="L71" s="314"/>
      <c r="M71" s="315"/>
      <c r="N71" s="315"/>
      <c r="O71" s="315"/>
      <c r="P71" s="315"/>
      <c r="Q71" s="315"/>
    </row>
    <row r="72" spans="1:17" s="147" customFormat="1" x14ac:dyDescent="0.25">
      <c r="A72" s="743">
        <f>IF(COUNTBLANK(B72)=1," ",COUNTA($B$12:B72))</f>
        <v>26</v>
      </c>
      <c r="B72" s="206" t="s">
        <v>14</v>
      </c>
      <c r="C72" s="325" t="s">
        <v>178</v>
      </c>
      <c r="D72" s="207" t="s">
        <v>16</v>
      </c>
      <c r="E72" s="650">
        <v>360</v>
      </c>
      <c r="F72" s="136"/>
      <c r="G72" s="136"/>
      <c r="H72" s="211"/>
      <c r="I72" s="12"/>
      <c r="J72" s="136"/>
      <c r="K72" s="136"/>
      <c r="L72" s="314"/>
      <c r="M72" s="315"/>
      <c r="N72" s="315"/>
      <c r="O72" s="315"/>
      <c r="P72" s="315"/>
      <c r="Q72" s="315"/>
    </row>
    <row r="73" spans="1:17" s="39" customFormat="1" x14ac:dyDescent="0.25">
      <c r="A73" s="743">
        <f>IF(COUNTBLANK(B73)=1," ",COUNTA($B$12:B73))</f>
        <v>27</v>
      </c>
      <c r="B73" s="206" t="s">
        <v>14</v>
      </c>
      <c r="C73" s="327" t="s">
        <v>50</v>
      </c>
      <c r="D73" s="204" t="s">
        <v>32</v>
      </c>
      <c r="E73" s="660">
        <v>1</v>
      </c>
      <c r="F73" s="12"/>
      <c r="G73" s="209"/>
      <c r="H73" s="211"/>
      <c r="I73" s="212"/>
      <c r="J73" s="209"/>
      <c r="K73" s="209"/>
      <c r="L73" s="314"/>
      <c r="M73" s="315"/>
      <c r="N73" s="315"/>
      <c r="O73" s="315"/>
      <c r="P73" s="315"/>
      <c r="Q73" s="315"/>
    </row>
    <row r="74" spans="1:17" s="39" customFormat="1" x14ac:dyDescent="0.25">
      <c r="A74" s="743">
        <f>IF(COUNTBLANK(B74)=1," ",COUNTA($B$12:B74))</f>
        <v>28</v>
      </c>
      <c r="B74" s="206" t="s">
        <v>14</v>
      </c>
      <c r="C74" s="332" t="s">
        <v>30</v>
      </c>
      <c r="D74" s="640" t="s">
        <v>26</v>
      </c>
      <c r="E74" s="212">
        <v>100</v>
      </c>
      <c r="F74" s="136"/>
      <c r="G74" s="212"/>
      <c r="H74" s="211"/>
      <c r="I74" s="639"/>
      <c r="J74" s="640"/>
      <c r="K74" s="212"/>
      <c r="L74" s="314"/>
      <c r="M74" s="315"/>
      <c r="N74" s="315"/>
      <c r="O74" s="315"/>
      <c r="P74" s="315"/>
      <c r="Q74" s="315"/>
    </row>
    <row r="75" spans="1:17" x14ac:dyDescent="0.25">
      <c r="A75" s="743" t="str">
        <f>IF(COUNTBLANK(B75)=1," ",COUNTA($B$12:B75))</f>
        <v xml:space="preserve"> </v>
      </c>
      <c r="B75" s="206"/>
      <c r="C75" s="332" t="s">
        <v>31</v>
      </c>
      <c r="D75" s="640" t="s">
        <v>32</v>
      </c>
      <c r="E75" s="10">
        <f>ROUNDUP(E74*F75,0)</f>
        <v>15</v>
      </c>
      <c r="F75" s="274">
        <v>0.14285714285714299</v>
      </c>
      <c r="G75" s="212"/>
      <c r="H75" s="212"/>
      <c r="I75" s="639"/>
      <c r="J75" s="640"/>
      <c r="K75" s="212"/>
      <c r="L75" s="314"/>
      <c r="M75" s="315"/>
      <c r="N75" s="315"/>
      <c r="O75" s="315"/>
      <c r="P75" s="315"/>
      <c r="Q75" s="315"/>
    </row>
    <row r="76" spans="1:17" x14ac:dyDescent="0.25">
      <c r="A76" s="250"/>
      <c r="B76" s="213"/>
      <c r="C76" s="333"/>
      <c r="D76" s="487"/>
      <c r="E76" s="488"/>
      <c r="F76" s="41"/>
      <c r="G76" s="214"/>
      <c r="H76" s="214"/>
      <c r="I76" s="215"/>
      <c r="J76" s="216"/>
      <c r="K76" s="214"/>
      <c r="L76" s="38"/>
      <c r="M76" s="38"/>
      <c r="N76" s="38"/>
      <c r="O76" s="38"/>
      <c r="P76" s="38"/>
      <c r="Q76" s="38"/>
    </row>
    <row r="77" spans="1:17" ht="22.5" x14ac:dyDescent="0.25">
      <c r="A77" s="250"/>
      <c r="B77" s="213"/>
      <c r="C77" s="334" t="s">
        <v>179</v>
      </c>
      <c r="D77" s="248"/>
      <c r="E77" s="245"/>
      <c r="F77" s="162"/>
      <c r="G77" s="17"/>
      <c r="H77" s="17"/>
      <c r="I77" s="17"/>
      <c r="J77" s="17"/>
      <c r="K77" s="17"/>
      <c r="L77" s="17"/>
      <c r="M77" s="20">
        <f>SUM(M12:M75)</f>
        <v>0</v>
      </c>
      <c r="N77" s="20">
        <f>SUM(N12:N75)</f>
        <v>0</v>
      </c>
      <c r="O77" s="20">
        <f>SUM(O12:O75)</f>
        <v>0</v>
      </c>
      <c r="P77" s="20">
        <f>SUM(P12:P75)</f>
        <v>0</v>
      </c>
      <c r="Q77" s="20">
        <f>SUM(Q12:Q75)</f>
        <v>0</v>
      </c>
    </row>
    <row r="78" spans="1:17" x14ac:dyDescent="0.25">
      <c r="A78" s="738"/>
      <c r="B78" s="45"/>
      <c r="C78" s="335"/>
      <c r="D78" s="491"/>
      <c r="E78" s="492"/>
      <c r="G78" s="100"/>
    </row>
    <row r="79" spans="1:17" x14ac:dyDescent="0.25">
      <c r="A79" s="738"/>
      <c r="B79" s="140" t="str">
        <f>sas</f>
        <v>Sastādīja:</v>
      </c>
      <c r="C79" s="140"/>
      <c r="D79" s="493"/>
      <c r="E79" s="493"/>
      <c r="G79" s="100"/>
    </row>
    <row r="80" spans="1:17" x14ac:dyDescent="0.25">
      <c r="A80" s="738"/>
      <c r="B80" s="140"/>
      <c r="C80" s="385" t="s">
        <v>145</v>
      </c>
      <c r="G80" s="100"/>
    </row>
    <row r="81" spans="2:7" x14ac:dyDescent="0.25">
      <c r="B81" s="161"/>
      <c r="C81" s="138"/>
      <c r="G81" s="100"/>
    </row>
    <row r="82" spans="2:7" x14ac:dyDescent="0.25">
      <c r="B82" s="140" t="str">
        <f>dat</f>
        <v>Tāme sastādīta 201__. gada __.____________</v>
      </c>
      <c r="C82" s="140"/>
      <c r="G82" s="100"/>
    </row>
    <row r="83" spans="2:7" x14ac:dyDescent="0.25">
      <c r="B83" s="161"/>
      <c r="C83" s="138"/>
      <c r="G83" s="100"/>
    </row>
    <row r="84" spans="2:7" x14ac:dyDescent="0.25">
      <c r="B84" s="140" t="s">
        <v>147</v>
      </c>
      <c r="C84" s="140"/>
      <c r="G84" s="100"/>
    </row>
    <row r="85" spans="2:7" x14ac:dyDescent="0.25">
      <c r="B85" s="140"/>
      <c r="C85" s="385" t="s">
        <v>145</v>
      </c>
      <c r="G85" s="100"/>
    </row>
    <row r="86" spans="2:7" x14ac:dyDescent="0.25">
      <c r="B86" s="161"/>
      <c r="C86" s="140" t="s">
        <v>148</v>
      </c>
      <c r="G86" s="100"/>
    </row>
    <row r="87" spans="2:7" x14ac:dyDescent="0.25">
      <c r="C87" s="140"/>
      <c r="D87" s="495"/>
      <c r="G87" s="100"/>
    </row>
    <row r="88" spans="2:7" x14ac:dyDescent="0.25">
      <c r="G88" s="100"/>
    </row>
    <row r="89" spans="2:7" x14ac:dyDescent="0.25">
      <c r="G89" s="100"/>
    </row>
  </sheetData>
  <autoFilter ref="A11:IG75" xr:uid="{00000000-0009-0000-0000-000002000000}"/>
  <mergeCells count="7">
    <mergeCell ref="G9:L9"/>
    <mergeCell ref="M9:Q9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ignoredErrors>
    <ignoredError sqref="E31:E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88"/>
  <sheetViews>
    <sheetView view="pageBreakPreview" topLeftCell="A40" zoomScale="85" zoomScaleSheetLayoutView="85" workbookViewId="0">
      <selection activeCell="C39" sqref="C39"/>
    </sheetView>
  </sheetViews>
  <sheetFormatPr defaultColWidth="8.5703125" defaultRowHeight="11.25" x14ac:dyDescent="0.25"/>
  <cols>
    <col min="1" max="1" width="4.42578125" style="32" customWidth="1"/>
    <col min="2" max="2" width="9.42578125" style="100" customWidth="1"/>
    <col min="3" max="3" width="45.42578125" style="129" customWidth="1"/>
    <col min="4" max="4" width="6.140625" style="494" customWidth="1"/>
    <col min="5" max="5" width="7.42578125" style="494" customWidth="1"/>
    <col min="6" max="6" width="4.5703125" style="100" hidden="1" customWidth="1"/>
    <col min="7" max="7" width="8" style="45" customWidth="1"/>
    <col min="8" max="8" width="6.5703125" style="100" customWidth="1"/>
    <col min="9" max="9" width="5.5703125" style="100" customWidth="1"/>
    <col min="10" max="10" width="5.7109375" style="100" customWidth="1"/>
    <col min="11" max="11" width="5.5703125" style="100" customWidth="1"/>
    <col min="12" max="12" width="8.28515625" style="100" customWidth="1"/>
    <col min="13" max="16" width="5.42578125" style="100" customWidth="1"/>
    <col min="17" max="17" width="6.42578125" style="100" customWidth="1"/>
    <col min="18" max="16384" width="8.5703125" style="100"/>
  </cols>
  <sheetData>
    <row r="1" spans="1:17" s="27" customFormat="1" ht="12" thickBot="1" x14ac:dyDescent="0.3">
      <c r="A1" s="414"/>
      <c r="B1" s="26"/>
      <c r="C1" s="26"/>
      <c r="D1" s="489"/>
      <c r="E1" s="489"/>
      <c r="F1" s="26"/>
      <c r="G1" s="731" t="s">
        <v>6</v>
      </c>
      <c r="H1" s="25">
        <f>KPDV!A14</f>
        <v>2</v>
      </c>
      <c r="I1" s="26"/>
      <c r="J1" s="26"/>
      <c r="K1" s="26"/>
      <c r="L1" s="26"/>
      <c r="M1" s="26"/>
    </row>
    <row r="2" spans="1:17" s="27" customFormat="1" x14ac:dyDescent="0.25">
      <c r="A2" s="414"/>
      <c r="B2" s="26"/>
      <c r="C2" s="30" t="s">
        <v>578</v>
      </c>
      <c r="D2" s="489"/>
      <c r="E2" s="489"/>
      <c r="F2" s="26"/>
      <c r="G2" s="731"/>
      <c r="H2" s="183"/>
      <c r="I2" s="26"/>
      <c r="J2" s="26"/>
      <c r="K2" s="26"/>
      <c r="L2" s="26"/>
      <c r="M2" s="26"/>
    </row>
    <row r="3" spans="1:17" s="140" customFormat="1" x14ac:dyDescent="0.25">
      <c r="A3" s="190" t="str">
        <f>nos</f>
        <v>Būves nosaukums:  Dzīvojamās māja</v>
      </c>
      <c r="B3" s="4"/>
      <c r="C3" s="28"/>
      <c r="D3" s="490"/>
      <c r="E3" s="49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40" customFormat="1" x14ac:dyDescent="0.25">
      <c r="A4" s="168" t="str">
        <f>obj</f>
        <v>Objekta nosaukums: Dzīvojamās ēkas fasādes vienkāršota atjaunošana</v>
      </c>
      <c r="B4" s="4"/>
      <c r="C4" s="28"/>
      <c r="D4" s="490"/>
      <c r="E4" s="49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40" customFormat="1" x14ac:dyDescent="0.25">
      <c r="A5" s="168" t="str">
        <f>adres</f>
        <v>Objekta adrese: Aisteres iela 7, Liepājā</v>
      </c>
      <c r="B5" s="4"/>
      <c r="C5" s="28"/>
      <c r="D5" s="490"/>
      <c r="E5" s="49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140" customFormat="1" ht="12" thickBot="1" x14ac:dyDescent="0.3">
      <c r="A6" s="168" t="str">
        <f>nr</f>
        <v>Pasūtījuma Nr.WS-41-17</v>
      </c>
      <c r="B6" s="4"/>
      <c r="C6" s="28"/>
      <c r="D6" s="490"/>
      <c r="E6" s="49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140" customFormat="1" ht="12" thickBot="1" x14ac:dyDescent="0.3">
      <c r="A7" s="190"/>
      <c r="B7" s="7"/>
      <c r="C7" s="322" t="s">
        <v>695</v>
      </c>
      <c r="D7" s="245"/>
      <c r="E7" s="247" t="s">
        <v>554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Q77</f>
        <v>0</v>
      </c>
    </row>
    <row r="8" spans="1:17" s="140" customFormat="1" x14ac:dyDescent="0.25">
      <c r="A8" s="182"/>
      <c r="B8" s="187"/>
      <c r="C8" s="311"/>
      <c r="D8" s="247"/>
      <c r="E8" s="24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4"/>
    </row>
    <row r="9" spans="1:17" s="32" customFormat="1" x14ac:dyDescent="0.25">
      <c r="A9" s="830" t="s">
        <v>7</v>
      </c>
      <c r="B9" s="831" t="s">
        <v>8</v>
      </c>
      <c r="C9" s="832" t="s">
        <v>132</v>
      </c>
      <c r="D9" s="833" t="s">
        <v>51</v>
      </c>
      <c r="E9" s="834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32" customFormat="1" ht="69" x14ac:dyDescent="0.25">
      <c r="A10" s="830"/>
      <c r="B10" s="831"/>
      <c r="C10" s="832"/>
      <c r="D10" s="833"/>
      <c r="E10" s="834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32" customFormat="1" x14ac:dyDescent="0.25">
      <c r="A11" s="410">
        <v>1</v>
      </c>
      <c r="B11" s="33">
        <f>A11+1</f>
        <v>2</v>
      </c>
      <c r="C11" s="323">
        <f>B11+1</f>
        <v>3</v>
      </c>
      <c r="D11" s="465">
        <f>C11+1</f>
        <v>4</v>
      </c>
      <c r="E11" s="465">
        <f>D11+1</f>
        <v>5</v>
      </c>
      <c r="F11" s="145">
        <v>1</v>
      </c>
      <c r="G11" s="33">
        <f>E11+1</f>
        <v>6</v>
      </c>
      <c r="H11" s="33">
        <f t="shared" ref="H11:Q11" si="0">G11+1</f>
        <v>7</v>
      </c>
      <c r="I11" s="33">
        <f t="shared" si="0"/>
        <v>8</v>
      </c>
      <c r="J11" s="33">
        <f t="shared" si="0"/>
        <v>9</v>
      </c>
      <c r="K11" s="33">
        <f t="shared" si="0"/>
        <v>10</v>
      </c>
      <c r="L11" s="33">
        <f t="shared" si="0"/>
        <v>11</v>
      </c>
      <c r="M11" s="33">
        <f t="shared" si="0"/>
        <v>12</v>
      </c>
      <c r="N11" s="33">
        <f t="shared" si="0"/>
        <v>13</v>
      </c>
      <c r="O11" s="33">
        <f t="shared" si="0"/>
        <v>14</v>
      </c>
      <c r="P11" s="33">
        <f t="shared" si="0"/>
        <v>15</v>
      </c>
      <c r="Q11" s="33">
        <f t="shared" si="0"/>
        <v>16</v>
      </c>
    </row>
    <row r="12" spans="1:17" s="147" customFormat="1" x14ac:dyDescent="0.25">
      <c r="A12" s="743">
        <f>IF(COUNTBLANK(B12)=1," ",COUNTA($B12:B$12))</f>
        <v>1</v>
      </c>
      <c r="B12" s="205" t="s">
        <v>14</v>
      </c>
      <c r="C12" s="324" t="s">
        <v>41</v>
      </c>
      <c r="D12" s="466" t="s">
        <v>16</v>
      </c>
      <c r="E12" s="467">
        <f>apjom!U76*1.5</f>
        <v>130.5</v>
      </c>
      <c r="F12" s="218"/>
      <c r="G12" s="209"/>
      <c r="H12" s="211"/>
      <c r="I12" s="209"/>
      <c r="J12" s="209"/>
      <c r="K12" s="209"/>
      <c r="L12" s="314"/>
      <c r="M12" s="315"/>
      <c r="N12" s="315"/>
      <c r="O12" s="315"/>
      <c r="P12" s="315"/>
      <c r="Q12" s="315"/>
    </row>
    <row r="13" spans="1:17" s="147" customFormat="1" x14ac:dyDescent="0.25">
      <c r="A13" s="743" t="str">
        <f>IF(COUNTBLANK(B13)=1," ",COUNTA($B$12:B13))</f>
        <v xml:space="preserve"> </v>
      </c>
      <c r="B13" s="206"/>
      <c r="C13" s="325" t="s">
        <v>42</v>
      </c>
      <c r="D13" s="468" t="s">
        <v>32</v>
      </c>
      <c r="E13" s="469">
        <f>E12/F13</f>
        <v>37.285714285714285</v>
      </c>
      <c r="F13" s="59">
        <v>3.5</v>
      </c>
      <c r="G13" s="209"/>
      <c r="H13" s="211"/>
      <c r="I13" s="209"/>
      <c r="J13" s="642"/>
      <c r="K13" s="209"/>
      <c r="L13" s="314"/>
      <c r="M13" s="315"/>
      <c r="N13" s="315"/>
      <c r="O13" s="315"/>
      <c r="P13" s="315"/>
      <c r="Q13" s="315"/>
    </row>
    <row r="14" spans="1:17" s="147" customFormat="1" x14ac:dyDescent="0.25">
      <c r="A14" s="743" t="str">
        <f>IF(COUNTBLANK(B14)=1," ",COUNTA($B$12:B14))</f>
        <v xml:space="preserve"> </v>
      </c>
      <c r="B14" s="206"/>
      <c r="C14" s="325" t="s">
        <v>43</v>
      </c>
      <c r="D14" s="468" t="s">
        <v>32</v>
      </c>
      <c r="E14" s="469">
        <f>E12/F14</f>
        <v>37.285714285714285</v>
      </c>
      <c r="F14" s="59">
        <f>F13</f>
        <v>3.5</v>
      </c>
      <c r="G14" s="209"/>
      <c r="H14" s="211"/>
      <c r="I14" s="209"/>
      <c r="J14" s="642"/>
      <c r="K14" s="209"/>
      <c r="L14" s="314"/>
      <c r="M14" s="315"/>
      <c r="N14" s="315"/>
      <c r="O14" s="315"/>
      <c r="P14" s="315"/>
      <c r="Q14" s="315"/>
    </row>
    <row r="15" spans="1:17" s="147" customFormat="1" x14ac:dyDescent="0.25">
      <c r="A15" s="743">
        <f>IF(COUNTBLANK(B15)=1," ",COUNTA($B$12:B15))</f>
        <v>2</v>
      </c>
      <c r="B15" s="206" t="s">
        <v>14</v>
      </c>
      <c r="C15" s="325" t="s">
        <v>166</v>
      </c>
      <c r="D15" s="470" t="s">
        <v>16</v>
      </c>
      <c r="E15" s="469">
        <f>E12</f>
        <v>130.5</v>
      </c>
      <c r="F15" s="59"/>
      <c r="G15" s="209"/>
      <c r="H15" s="211"/>
      <c r="I15" s="209"/>
      <c r="J15" s="209"/>
      <c r="K15" s="209"/>
      <c r="L15" s="314"/>
      <c r="M15" s="315"/>
      <c r="N15" s="315"/>
      <c r="O15" s="315"/>
      <c r="P15" s="315"/>
      <c r="Q15" s="315"/>
    </row>
    <row r="16" spans="1:17" s="147" customFormat="1" x14ac:dyDescent="0.25">
      <c r="A16" s="743">
        <f>IF(COUNTBLANK(B16)=1," ",COUNTA($B$12:B16))</f>
        <v>3</v>
      </c>
      <c r="B16" s="206" t="s">
        <v>14</v>
      </c>
      <c r="C16" s="325" t="s">
        <v>44</v>
      </c>
      <c r="D16" s="468" t="s">
        <v>17</v>
      </c>
      <c r="E16" s="469">
        <f>apjom!U76*16.5</f>
        <v>1435.5</v>
      </c>
      <c r="F16" s="59"/>
      <c r="G16" s="209"/>
      <c r="H16" s="211"/>
      <c r="I16" s="209"/>
      <c r="J16" s="209"/>
      <c r="K16" s="209"/>
      <c r="L16" s="314"/>
      <c r="M16" s="315"/>
      <c r="N16" s="315"/>
      <c r="O16" s="315"/>
      <c r="P16" s="315"/>
      <c r="Q16" s="315"/>
    </row>
    <row r="17" spans="1:17" s="147" customFormat="1" x14ac:dyDescent="0.25">
      <c r="A17" s="743" t="str">
        <f>IF(COUNTBLANK(B17)=1," ",COUNTA($B$12:B17))</f>
        <v xml:space="preserve"> </v>
      </c>
      <c r="B17" s="206"/>
      <c r="C17" s="325" t="s">
        <v>45</v>
      </c>
      <c r="D17" s="468" t="s">
        <v>17</v>
      </c>
      <c r="E17" s="756">
        <f>ROUNDUP(E16*F17,1)</f>
        <v>1435.5</v>
      </c>
      <c r="F17" s="60">
        <v>1</v>
      </c>
      <c r="G17" s="209"/>
      <c r="H17" s="211"/>
      <c r="I17" s="209"/>
      <c r="J17" s="209"/>
      <c r="K17" s="209"/>
      <c r="L17" s="314"/>
      <c r="M17" s="315"/>
      <c r="N17" s="315"/>
      <c r="O17" s="315"/>
      <c r="P17" s="315"/>
      <c r="Q17" s="315"/>
    </row>
    <row r="18" spans="1:17" s="147" customFormat="1" x14ac:dyDescent="0.25">
      <c r="A18" s="743" t="str">
        <f>IF(COUNTBLANK(B18)=1," ",COUNTA($B$12:B18))</f>
        <v xml:space="preserve"> </v>
      </c>
      <c r="B18" s="206"/>
      <c r="C18" s="14" t="s">
        <v>209</v>
      </c>
      <c r="D18" s="468" t="s">
        <v>17</v>
      </c>
      <c r="E18" s="756">
        <f>E16*F18</f>
        <v>1579.0500000000002</v>
      </c>
      <c r="F18" s="270">
        <v>1.1000000000000001</v>
      </c>
      <c r="G18" s="34"/>
      <c r="H18" s="60"/>
      <c r="I18" s="34"/>
      <c r="J18" s="34"/>
      <c r="K18" s="34"/>
      <c r="L18" s="314"/>
      <c r="M18" s="315"/>
      <c r="N18" s="315"/>
      <c r="O18" s="315"/>
      <c r="P18" s="315"/>
      <c r="Q18" s="315"/>
    </row>
    <row r="19" spans="1:17" s="147" customFormat="1" x14ac:dyDescent="0.25">
      <c r="A19" s="743">
        <f>IF(COUNTBLANK(B19)=1," ",COUNTA($B$12:B19))</f>
        <v>4</v>
      </c>
      <c r="B19" s="206" t="s">
        <v>14</v>
      </c>
      <c r="C19" s="325" t="s">
        <v>46</v>
      </c>
      <c r="D19" s="468" t="s">
        <v>32</v>
      </c>
      <c r="E19" s="469">
        <v>1</v>
      </c>
      <c r="F19" s="59"/>
      <c r="G19" s="209"/>
      <c r="H19" s="211"/>
      <c r="I19" s="209"/>
      <c r="J19" s="209"/>
      <c r="K19" s="209"/>
      <c r="L19" s="314"/>
      <c r="M19" s="315"/>
      <c r="N19" s="315"/>
      <c r="O19" s="315"/>
      <c r="P19" s="315"/>
      <c r="Q19" s="315"/>
    </row>
    <row r="20" spans="1:17" s="147" customFormat="1" x14ac:dyDescent="0.25">
      <c r="A20" s="743" t="str">
        <f>IF(COUNTBLANK(B20)=1," ",COUNTA($B$12:B20))</f>
        <v xml:space="preserve"> </v>
      </c>
      <c r="B20" s="206"/>
      <c r="C20" s="325" t="s">
        <v>47</v>
      </c>
      <c r="D20" s="468" t="s">
        <v>48</v>
      </c>
      <c r="E20" s="469">
        <v>5</v>
      </c>
      <c r="F20" s="59"/>
      <c r="G20" s="209"/>
      <c r="H20" s="211"/>
      <c r="I20" s="209"/>
      <c r="J20" s="209"/>
      <c r="K20" s="209"/>
      <c r="L20" s="314"/>
      <c r="M20" s="315"/>
      <c r="N20" s="315"/>
      <c r="O20" s="315"/>
      <c r="P20" s="315"/>
      <c r="Q20" s="315"/>
    </row>
    <row r="21" spans="1:17" s="27" customFormat="1" x14ac:dyDescent="0.25">
      <c r="A21" s="743">
        <f>IF(COUNTBLANK(B21)=1," ",COUNTA($B$12:B21))</f>
        <v>5</v>
      </c>
      <c r="B21" s="206" t="s">
        <v>14</v>
      </c>
      <c r="C21" s="325" t="s">
        <v>49</v>
      </c>
      <c r="D21" s="468" t="s">
        <v>32</v>
      </c>
      <c r="E21" s="469">
        <v>1</v>
      </c>
      <c r="F21" s="60"/>
      <c r="G21" s="209"/>
      <c r="H21" s="211"/>
      <c r="I21" s="209"/>
      <c r="J21" s="209"/>
      <c r="K21" s="209"/>
      <c r="L21" s="314"/>
      <c r="M21" s="315"/>
      <c r="N21" s="315"/>
      <c r="O21" s="315"/>
      <c r="P21" s="315"/>
      <c r="Q21" s="315"/>
    </row>
    <row r="22" spans="1:17" s="26" customFormat="1" x14ac:dyDescent="0.25">
      <c r="A22" s="743">
        <f>IF(COUNTBLANK(B22)=1," ",COUNTA($B$12:B22))</f>
        <v>6</v>
      </c>
      <c r="B22" s="206" t="s">
        <v>14</v>
      </c>
      <c r="C22" s="325" t="s">
        <v>167</v>
      </c>
      <c r="D22" s="468" t="s">
        <v>32</v>
      </c>
      <c r="E22" s="469">
        <v>1</v>
      </c>
      <c r="F22" s="60"/>
      <c r="G22" s="209"/>
      <c r="H22" s="211"/>
      <c r="I22" s="209"/>
      <c r="J22" s="209"/>
      <c r="K22" s="209"/>
      <c r="L22" s="314"/>
      <c r="M22" s="315"/>
      <c r="N22" s="315"/>
      <c r="O22" s="315"/>
      <c r="P22" s="315"/>
      <c r="Q22" s="315"/>
    </row>
    <row r="23" spans="1:17" s="27" customFormat="1" x14ac:dyDescent="0.25">
      <c r="A23" s="743">
        <f>IF(COUNTBLANK(B23)=1," ",COUNTA($B$12:B23))</f>
        <v>7</v>
      </c>
      <c r="B23" s="206" t="s">
        <v>14</v>
      </c>
      <c r="C23" s="326" t="s">
        <v>168</v>
      </c>
      <c r="D23" s="468" t="s">
        <v>32</v>
      </c>
      <c r="E23" s="471">
        <v>1</v>
      </c>
      <c r="F23" s="60"/>
      <c r="G23" s="209"/>
      <c r="H23" s="211"/>
      <c r="I23" s="209"/>
      <c r="J23" s="209"/>
      <c r="K23" s="209"/>
      <c r="L23" s="314"/>
      <c r="M23" s="315"/>
      <c r="N23" s="315"/>
      <c r="O23" s="315"/>
      <c r="P23" s="315"/>
      <c r="Q23" s="315"/>
    </row>
    <row r="24" spans="1:17" s="27" customFormat="1" ht="33.75" x14ac:dyDescent="0.25">
      <c r="A24" s="743">
        <f>IF(COUNTBLANK(B24)=1," ",COUNTA($B$12:B24))</f>
        <v>8</v>
      </c>
      <c r="B24" s="206" t="s">
        <v>14</v>
      </c>
      <c r="C24" s="328" t="s">
        <v>169</v>
      </c>
      <c r="D24" s="472" t="s">
        <v>17</v>
      </c>
      <c r="E24" s="804">
        <f>E27+E29+E31+E33+E35</f>
        <v>900.8</v>
      </c>
      <c r="F24" s="60"/>
      <c r="G24" s="60"/>
      <c r="H24" s="211"/>
      <c r="I24" s="34"/>
      <c r="J24" s="55"/>
      <c r="K24" s="271"/>
      <c r="L24" s="314"/>
      <c r="M24" s="315"/>
      <c r="N24" s="315"/>
      <c r="O24" s="315"/>
      <c r="P24" s="315"/>
      <c r="Q24" s="315"/>
    </row>
    <row r="25" spans="1:17" s="27" customFormat="1" x14ac:dyDescent="0.25">
      <c r="A25" s="743" t="str">
        <f>IF(COUNTBLANK(B25)=1," ",COUNTA($B$12:B25))</f>
        <v xml:space="preserve"> </v>
      </c>
      <c r="B25" s="204"/>
      <c r="C25" s="327" t="s">
        <v>170</v>
      </c>
      <c r="D25" s="473" t="s">
        <v>23</v>
      </c>
      <c r="E25" s="474">
        <f>ROUNDUP(E24*F25,2)</f>
        <v>270.24</v>
      </c>
      <c r="F25" s="60">
        <v>0.3</v>
      </c>
      <c r="G25" s="273"/>
      <c r="H25" s="643"/>
      <c r="I25" s="273"/>
      <c r="J25" s="273"/>
      <c r="K25" s="273"/>
      <c r="L25" s="314"/>
      <c r="M25" s="315"/>
      <c r="N25" s="315"/>
      <c r="O25" s="315"/>
      <c r="P25" s="315"/>
      <c r="Q25" s="315"/>
    </row>
    <row r="26" spans="1:17" s="27" customFormat="1" x14ac:dyDescent="0.25">
      <c r="A26" s="743" t="str">
        <f>IF(COUNTBLANK(B26)=1," ",COUNTA($B$12:B26))</f>
        <v xml:space="preserve"> </v>
      </c>
      <c r="B26" s="204"/>
      <c r="C26" s="327" t="s">
        <v>171</v>
      </c>
      <c r="D26" s="473" t="s">
        <v>23</v>
      </c>
      <c r="E26" s="475">
        <f>ROUNDUP(E24*F26,2)</f>
        <v>4504</v>
      </c>
      <c r="F26" s="60">
        <v>5</v>
      </c>
      <c r="G26" s="274"/>
      <c r="H26" s="644"/>
      <c r="I26" s="274"/>
      <c r="J26" s="274"/>
      <c r="K26" s="274"/>
      <c r="L26" s="314"/>
      <c r="M26" s="315"/>
      <c r="N26" s="315"/>
      <c r="O26" s="315"/>
      <c r="P26" s="315"/>
      <c r="Q26" s="315"/>
    </row>
    <row r="27" spans="1:17" s="27" customFormat="1" ht="48" x14ac:dyDescent="0.25">
      <c r="A27" s="743">
        <f>IF(COUNTBLANK(B27)=1," ",COUNTA($B$12:B27))</f>
        <v>9</v>
      </c>
      <c r="B27" s="336" t="str">
        <f>apjom!A87</f>
        <v xml:space="preserve">S-1 Paneļu ārsienas siltinājums </v>
      </c>
      <c r="C27" s="586" t="str">
        <f>apjom!B87</f>
        <v>Apmetuma sistēma virs siltinājuma (AS-1 vai AS-2)
Siltinājums - akmensvate (Technofacade Cottage vai ekvivalents)  λ=0,036W/m²K  b=150mm, Līmjava, Grunts, Esošā siena - vieglbetona panelis b=250mm</v>
      </c>
      <c r="D27" s="468" t="str">
        <f>apjom!C87</f>
        <v>m²</v>
      </c>
      <c r="E27" s="468">
        <f>apjom!E87</f>
        <v>309.60000000000002</v>
      </c>
      <c r="F27" s="208"/>
      <c r="G27" s="60"/>
      <c r="H27" s="60"/>
      <c r="I27" s="60"/>
      <c r="J27" s="60"/>
      <c r="K27" s="60"/>
      <c r="L27" s="314"/>
      <c r="M27" s="315"/>
      <c r="N27" s="315"/>
      <c r="O27" s="315"/>
      <c r="P27" s="315"/>
      <c r="Q27" s="315"/>
    </row>
    <row r="28" spans="1:17" s="27" customFormat="1" x14ac:dyDescent="0.25">
      <c r="A28" s="743" t="str">
        <f>IF(COUNTBLANK(B28)=1," ",COUNTA($B$12:B28))</f>
        <v xml:space="preserve"> </v>
      </c>
      <c r="B28" s="336"/>
      <c r="C28" s="336" t="s">
        <v>548</v>
      </c>
      <c r="D28" s="472" t="s">
        <v>17</v>
      </c>
      <c r="E28" s="476">
        <f>E27*1.1</f>
        <v>340.56000000000006</v>
      </c>
      <c r="F28" s="208"/>
      <c r="G28" s="60"/>
      <c r="H28" s="60"/>
      <c r="I28" s="60"/>
      <c r="J28" s="60"/>
      <c r="K28" s="60"/>
      <c r="L28" s="314"/>
      <c r="M28" s="315"/>
      <c r="N28" s="315"/>
      <c r="O28" s="315"/>
      <c r="P28" s="315"/>
      <c r="Q28" s="315"/>
    </row>
    <row r="29" spans="1:17" s="26" customFormat="1" ht="41.25" x14ac:dyDescent="0.25">
      <c r="A29" s="743">
        <f>IF(COUNTBLANK(B29)=1," ",COUNTA($B$12:B29))</f>
        <v>10</v>
      </c>
      <c r="B29" s="336" t="str">
        <f>apjom!A88</f>
        <v>S-2 Gala ārsienas siltinājums 
Lodžiju sānsienu siltinājums</v>
      </c>
      <c r="C29" s="336" t="str">
        <f>apjom!B88</f>
        <v xml:space="preserve"> Apmetuma sistēma virs siltinājuma (AS-1 vai AS-2) siltinājums - akmensvate (Technofacade Cottage vai ekvivalents) λ=0,036W/m²K b=150mm, Līmjava, Grunts, Esošā siena - vieglbetona paneļi   b=410mm, vai lodžiju sānu paneļi                 b=160mm</v>
      </c>
      <c r="D29" s="468" t="str">
        <f>apjom!C88</f>
        <v>m²</v>
      </c>
      <c r="E29" s="468">
        <f>apjom!E88</f>
        <v>460</v>
      </c>
      <c r="F29" s="208"/>
      <c r="G29" s="60"/>
      <c r="H29" s="60"/>
      <c r="I29" s="15"/>
      <c r="J29" s="15"/>
      <c r="K29" s="60"/>
      <c r="L29" s="314"/>
      <c r="M29" s="315"/>
      <c r="N29" s="315"/>
      <c r="O29" s="315"/>
      <c r="P29" s="315"/>
      <c r="Q29" s="315"/>
    </row>
    <row r="30" spans="1:17" s="26" customFormat="1" x14ac:dyDescent="0.25">
      <c r="A30" s="743" t="str">
        <f>IF(COUNTBLANK(B30)=1," ",COUNTA($B$12:B30))</f>
        <v xml:space="preserve"> </v>
      </c>
      <c r="B30" s="336"/>
      <c r="C30" s="336" t="s">
        <v>548</v>
      </c>
      <c r="D30" s="472" t="s">
        <v>17</v>
      </c>
      <c r="E30" s="476">
        <f>E29*F30</f>
        <v>515.20000000000005</v>
      </c>
      <c r="F30" s="496">
        <v>1.1200000000000001</v>
      </c>
      <c r="G30" s="60"/>
      <c r="H30" s="60"/>
      <c r="I30" s="15"/>
      <c r="J30" s="15"/>
      <c r="K30" s="60"/>
      <c r="L30" s="314"/>
      <c r="M30" s="315"/>
      <c r="N30" s="315"/>
      <c r="O30" s="315"/>
      <c r="P30" s="315"/>
      <c r="Q30" s="315"/>
    </row>
    <row r="31" spans="1:17" s="26" customFormat="1" ht="24.75" x14ac:dyDescent="0.25">
      <c r="A31" s="743">
        <f>IF(COUNTBLANK(B31)=1," ",COUNTA($B$12:B31))</f>
        <v>11</v>
      </c>
      <c r="B31" s="517" t="str">
        <f>apjom!A92</f>
        <v>S7 sienas gali</v>
      </c>
      <c r="C31" s="517" t="str">
        <f>apjom!B92</f>
        <v>Apmetuma sistēma virs siltinājuma ( AS-2) Putupolistirola plâksne, ekvivalnets Tenapors NEO EPS 100 λ=0,031 W/m²×K    b=50mm, Lîmjava, Gruntējums. Esoša siena  b=250mm</v>
      </c>
      <c r="D31" s="468" t="str">
        <f>apjom!C92</f>
        <v>m²</v>
      </c>
      <c r="E31" s="468">
        <f>apjom!E92</f>
        <v>51.800000000000004</v>
      </c>
      <c r="F31" s="208"/>
      <c r="G31" s="60"/>
      <c r="H31" s="60"/>
      <c r="I31" s="15"/>
      <c r="J31" s="15"/>
      <c r="K31" s="60"/>
      <c r="L31" s="314"/>
      <c r="M31" s="315"/>
      <c r="N31" s="315"/>
      <c r="O31" s="315"/>
      <c r="P31" s="315"/>
      <c r="Q31" s="315"/>
    </row>
    <row r="32" spans="1:17" s="26" customFormat="1" x14ac:dyDescent="0.25">
      <c r="A32" s="743" t="str">
        <f>IF(COUNTBLANK(B32)=1," ",COUNTA($B$12:B32))</f>
        <v xml:space="preserve"> </v>
      </c>
      <c r="B32" s="517"/>
      <c r="C32" s="517" t="s">
        <v>875</v>
      </c>
      <c r="D32" s="472" t="s">
        <v>17</v>
      </c>
      <c r="E32" s="476">
        <f>E31*F32</f>
        <v>58.016000000000012</v>
      </c>
      <c r="F32" s="496">
        <v>1.1200000000000001</v>
      </c>
      <c r="G32" s="60"/>
      <c r="H32" s="60"/>
      <c r="I32" s="15"/>
      <c r="J32" s="15"/>
      <c r="K32" s="60"/>
      <c r="L32" s="314"/>
      <c r="M32" s="315"/>
      <c r="N32" s="315"/>
      <c r="O32" s="315"/>
      <c r="P32" s="315"/>
      <c r="Q32" s="315"/>
    </row>
    <row r="33" spans="1:17" s="27" customFormat="1" ht="24.75" x14ac:dyDescent="0.25">
      <c r="A33" s="743">
        <f>IF(COUNTBLANK(B33)=1," ",COUNTA($B$12:B33))</f>
        <v>12</v>
      </c>
      <c r="B33" s="517" t="str">
        <f>apjom!A93</f>
        <v>S8 ieejas mezgla sienu siltinâjums</v>
      </c>
      <c r="C33" s="517" t="str">
        <f>apjom!B93</f>
        <v>Apmetuma sistēma virs siltinājuma (AS-3) Siltinājums - SPU materiāls (Kooltherm K5 vai ekvivalents,  λ=0,021W/mK) b=70mm. Līmjava. Gruntējums. Esoša betona vai ķieģeļu mūra siena  b=250*mm</v>
      </c>
      <c r="D33" s="468" t="str">
        <f>apjom!C93</f>
        <v>m²</v>
      </c>
      <c r="E33" s="468">
        <f>apjom!E93</f>
        <v>14.399999999999999</v>
      </c>
      <c r="F33" s="208"/>
      <c r="G33" s="60"/>
      <c r="H33" s="60"/>
      <c r="I33" s="60"/>
      <c r="J33" s="60"/>
      <c r="K33" s="60"/>
      <c r="L33" s="314"/>
      <c r="M33" s="315"/>
      <c r="N33" s="315"/>
      <c r="O33" s="315"/>
      <c r="P33" s="315"/>
      <c r="Q33" s="315"/>
    </row>
    <row r="34" spans="1:17" s="27" customFormat="1" x14ac:dyDescent="0.25">
      <c r="A34" s="743" t="str">
        <f>IF(COUNTBLANK(B34)=1," ",COUNTA($B$12:B34))</f>
        <v xml:space="preserve"> </v>
      </c>
      <c r="B34" s="517"/>
      <c r="C34" s="517" t="s">
        <v>570</v>
      </c>
      <c r="D34" s="472" t="s">
        <v>17</v>
      </c>
      <c r="E34" s="476">
        <f>E33*F34</f>
        <v>16.128</v>
      </c>
      <c r="F34" s="496">
        <v>1.1200000000000001</v>
      </c>
      <c r="G34" s="60"/>
      <c r="H34" s="60"/>
      <c r="I34" s="60"/>
      <c r="J34" s="60"/>
      <c r="K34" s="60"/>
      <c r="L34" s="314"/>
      <c r="M34" s="315"/>
      <c r="N34" s="315"/>
      <c r="O34" s="315"/>
      <c r="P34" s="315"/>
      <c r="Q34" s="315"/>
    </row>
    <row r="35" spans="1:17" s="27" customFormat="1" ht="33" x14ac:dyDescent="0.25">
      <c r="A35" s="743">
        <f>IF(COUNTBLANK(B35)=1," ",COUNTA($B$12:B35))</f>
        <v>13</v>
      </c>
      <c r="B35" s="517" t="str">
        <f>apjom!A97</f>
        <v>P5 lodžiju paneļu apakšas siltinājums
1.stāvā</v>
      </c>
      <c r="C35" s="517" t="str">
        <f>apjom!B97</f>
        <v>Esošs dzelzsbetona lodžijas panelis, Gruntējums, Līmjava             Siltinājums -akmens vate (Technofacade Optima vai ekvivalents; λ=0,037W/mK) b=50mm,  (dobuma vietā - 2x50mm)</v>
      </c>
      <c r="D35" s="468" t="str">
        <f>apjom!C97</f>
        <v>m²</v>
      </c>
      <c r="E35" s="468">
        <f>apjom!E97</f>
        <v>65</v>
      </c>
      <c r="F35" s="208"/>
      <c r="G35" s="60"/>
      <c r="H35" s="60"/>
      <c r="I35" s="60"/>
      <c r="J35" s="60"/>
      <c r="K35" s="60"/>
      <c r="L35" s="314"/>
      <c r="M35" s="315"/>
      <c r="N35" s="315"/>
      <c r="O35" s="315"/>
      <c r="P35" s="315"/>
      <c r="Q35" s="315"/>
    </row>
    <row r="36" spans="1:17" s="27" customFormat="1" x14ac:dyDescent="0.25">
      <c r="A36" s="743" t="str">
        <f>IF(COUNTBLANK(B36)=1," ",COUNTA($B$12:B36))</f>
        <v xml:space="preserve"> </v>
      </c>
      <c r="B36" s="336"/>
      <c r="C36" s="329" t="s">
        <v>552</v>
      </c>
      <c r="D36" s="472" t="s">
        <v>17</v>
      </c>
      <c r="E36" s="476">
        <f>E35*F36</f>
        <v>72.800000000000011</v>
      </c>
      <c r="F36" s="496">
        <v>1.1200000000000001</v>
      </c>
      <c r="G36" s="60"/>
      <c r="H36" s="60"/>
      <c r="I36" s="60"/>
      <c r="J36" s="60"/>
      <c r="K36" s="60"/>
      <c r="L36" s="314"/>
      <c r="M36" s="315"/>
      <c r="N36" s="315"/>
      <c r="O36" s="315"/>
      <c r="P36" s="315"/>
      <c r="Q36" s="315"/>
    </row>
    <row r="37" spans="1:17" s="27" customFormat="1" ht="33.75" x14ac:dyDescent="0.25">
      <c r="A37" s="743" t="str">
        <f>IF(COUNTBLANK(B37)=1," ",COUNTA($B$12:B37))</f>
        <v xml:space="preserve"> </v>
      </c>
      <c r="B37" s="204"/>
      <c r="C37" s="325" t="s">
        <v>235</v>
      </c>
      <c r="D37" s="468" t="s">
        <v>201</v>
      </c>
      <c r="E37" s="477">
        <f>SUM(E27+E29+E35)*F37</f>
        <v>5007.6000000000004</v>
      </c>
      <c r="F37" s="384">
        <v>6</v>
      </c>
      <c r="G37" s="60"/>
      <c r="H37" s="60"/>
      <c r="I37" s="60"/>
      <c r="J37" s="60"/>
      <c r="K37" s="60"/>
      <c r="L37" s="314"/>
      <c r="M37" s="315"/>
      <c r="N37" s="315"/>
      <c r="O37" s="315"/>
      <c r="P37" s="315"/>
      <c r="Q37" s="315"/>
    </row>
    <row r="38" spans="1:17" s="140" customFormat="1" ht="33.75" x14ac:dyDescent="0.25">
      <c r="A38" s="743" t="str">
        <f>IF(COUNTBLANK(B38)=1," ",COUNTA($B$12:B38))</f>
        <v xml:space="preserve"> </v>
      </c>
      <c r="B38" s="204"/>
      <c r="C38" s="325" t="s">
        <v>236</v>
      </c>
      <c r="D38" s="468" t="s">
        <v>201</v>
      </c>
      <c r="E38" s="477">
        <f>(E31+E33)*F38</f>
        <v>397.20000000000005</v>
      </c>
      <c r="F38" s="377">
        <v>6</v>
      </c>
      <c r="G38" s="10"/>
      <c r="H38" s="136"/>
      <c r="I38" s="10"/>
      <c r="J38" s="58"/>
      <c r="K38" s="743"/>
      <c r="L38" s="314"/>
      <c r="M38" s="315"/>
      <c r="N38" s="315"/>
      <c r="O38" s="315"/>
      <c r="P38" s="315"/>
      <c r="Q38" s="315"/>
    </row>
    <row r="39" spans="1:17" s="140" customFormat="1" ht="56.25" x14ac:dyDescent="0.25">
      <c r="A39" s="743">
        <f>IF(COUNTBLANK(B39)=1," ",COUNTA($B$12:B39))</f>
        <v>14</v>
      </c>
      <c r="B39" s="206" t="s">
        <v>14</v>
      </c>
      <c r="C39" s="327" t="s">
        <v>172</v>
      </c>
      <c r="D39" s="468" t="s">
        <v>17</v>
      </c>
      <c r="E39" s="469">
        <f>E24</f>
        <v>900.8</v>
      </c>
      <c r="F39" s="10"/>
      <c r="G39" s="211"/>
      <c r="H39" s="211"/>
      <c r="I39" s="212"/>
      <c r="J39" s="212"/>
      <c r="K39" s="211"/>
      <c r="L39" s="314"/>
      <c r="M39" s="315"/>
      <c r="N39" s="315"/>
      <c r="O39" s="315"/>
      <c r="P39" s="315"/>
      <c r="Q39" s="315"/>
    </row>
    <row r="40" spans="1:17" s="27" customFormat="1" x14ac:dyDescent="0.25">
      <c r="A40" s="743" t="str">
        <f>IF(COUNTBLANK(B40)=1," ",COUNTA($B$12:B40))</f>
        <v xml:space="preserve"> </v>
      </c>
      <c r="B40" s="206"/>
      <c r="C40" s="327" t="s">
        <v>173</v>
      </c>
      <c r="D40" s="473" t="s">
        <v>23</v>
      </c>
      <c r="E40" s="469">
        <f>E39*F40</f>
        <v>4504</v>
      </c>
      <c r="F40" s="743">
        <v>5</v>
      </c>
      <c r="G40" s="211"/>
      <c r="H40" s="211"/>
      <c r="I40" s="211"/>
      <c r="J40" s="211"/>
      <c r="K40" s="211"/>
      <c r="L40" s="314"/>
      <c r="M40" s="315"/>
      <c r="N40" s="315"/>
      <c r="O40" s="315"/>
      <c r="P40" s="315"/>
      <c r="Q40" s="315"/>
    </row>
    <row r="41" spans="1:17" s="27" customFormat="1" x14ac:dyDescent="0.25">
      <c r="A41" s="743" t="str">
        <f>IF(COUNTBLANK(B41)=1," ",COUNTA($B$12:B41))</f>
        <v xml:space="preserve"> </v>
      </c>
      <c r="B41" s="206"/>
      <c r="C41" s="327" t="s">
        <v>197</v>
      </c>
      <c r="D41" s="478" t="s">
        <v>17</v>
      </c>
      <c r="E41" s="469">
        <f>E39*F41</f>
        <v>990.88</v>
      </c>
      <c r="F41" s="91">
        <v>1.1000000000000001</v>
      </c>
      <c r="G41" s="211"/>
      <c r="H41" s="211"/>
      <c r="I41" s="211"/>
      <c r="J41" s="211"/>
      <c r="K41" s="211"/>
      <c r="L41" s="314"/>
      <c r="M41" s="315"/>
      <c r="N41" s="315"/>
      <c r="O41" s="315"/>
      <c r="P41" s="315"/>
      <c r="Q41" s="315"/>
    </row>
    <row r="42" spans="1:17" s="27" customFormat="1" x14ac:dyDescent="0.25">
      <c r="A42" s="743" t="str">
        <f>IF(COUNTBLANK(B42)=1," ",COUNTA($B$12:B42))</f>
        <v xml:space="preserve"> </v>
      </c>
      <c r="B42" s="210"/>
      <c r="C42" s="327" t="s">
        <v>174</v>
      </c>
      <c r="D42" s="473" t="s">
        <v>23</v>
      </c>
      <c r="E42" s="469">
        <f>E39*F42</f>
        <v>270.23999999999995</v>
      </c>
      <c r="F42" s="89">
        <v>0.3</v>
      </c>
      <c r="G42" s="211"/>
      <c r="H42" s="211"/>
      <c r="I42" s="211"/>
      <c r="J42" s="211"/>
      <c r="K42" s="211"/>
      <c r="L42" s="314"/>
      <c r="M42" s="315"/>
      <c r="N42" s="315"/>
      <c r="O42" s="315"/>
      <c r="P42" s="315"/>
      <c r="Q42" s="315"/>
    </row>
    <row r="43" spans="1:17" s="36" customFormat="1" x14ac:dyDescent="0.25">
      <c r="A43" s="743" t="str">
        <f>IF(COUNTBLANK(B43)=1," ",COUNTA($B$12:B43))</f>
        <v xml:space="preserve"> </v>
      </c>
      <c r="B43" s="210"/>
      <c r="C43" s="327" t="s">
        <v>175</v>
      </c>
      <c r="D43" s="473" t="s">
        <v>23</v>
      </c>
      <c r="E43" s="469">
        <f>E39*F43</f>
        <v>4504</v>
      </c>
      <c r="F43" s="60">
        <v>5</v>
      </c>
      <c r="G43" s="211"/>
      <c r="H43" s="211"/>
      <c r="I43" s="211"/>
      <c r="J43" s="211"/>
      <c r="K43" s="211"/>
      <c r="L43" s="314"/>
      <c r="M43" s="315"/>
      <c r="N43" s="315"/>
      <c r="O43" s="315"/>
      <c r="P43" s="315"/>
      <c r="Q43" s="315"/>
    </row>
    <row r="44" spans="1:17" s="36" customFormat="1" ht="22.5" x14ac:dyDescent="0.25">
      <c r="A44" s="743" t="str">
        <f>IF(COUNTBLANK(B44)=1," ",COUNTA($B$12:B44))</f>
        <v xml:space="preserve"> </v>
      </c>
      <c r="B44" s="210"/>
      <c r="C44" s="327" t="s">
        <v>234</v>
      </c>
      <c r="D44" s="473" t="s">
        <v>23</v>
      </c>
      <c r="E44" s="469">
        <f>E39*F44</f>
        <v>3332.96</v>
      </c>
      <c r="F44" s="60">
        <v>3.7</v>
      </c>
      <c r="G44" s="211"/>
      <c r="H44" s="211"/>
      <c r="I44" s="211"/>
      <c r="J44" s="211"/>
      <c r="K44" s="211"/>
      <c r="L44" s="314"/>
      <c r="M44" s="315"/>
      <c r="N44" s="315"/>
      <c r="O44" s="315"/>
      <c r="P44" s="315"/>
      <c r="Q44" s="315"/>
    </row>
    <row r="45" spans="1:17" s="162" customFormat="1" x14ac:dyDescent="0.25">
      <c r="A45" s="743" t="str">
        <f>IF(COUNTBLANK(B45)=1," ",COUNTA($B$12:B45))</f>
        <v xml:space="preserve"> </v>
      </c>
      <c r="B45" s="210"/>
      <c r="C45" s="327" t="s">
        <v>38</v>
      </c>
      <c r="D45" s="468" t="s">
        <v>211</v>
      </c>
      <c r="E45" s="10">
        <f>ROUNDUP(E39*F45,0)</f>
        <v>28</v>
      </c>
      <c r="F45" s="211">
        <v>0.03</v>
      </c>
      <c r="G45" s="211"/>
      <c r="H45" s="211"/>
      <c r="I45" s="211"/>
      <c r="J45" s="211"/>
      <c r="K45" s="60"/>
      <c r="L45" s="314"/>
      <c r="M45" s="315"/>
      <c r="N45" s="315"/>
      <c r="O45" s="315"/>
      <c r="P45" s="315"/>
      <c r="Q45" s="315"/>
    </row>
    <row r="46" spans="1:17" s="162" customFormat="1" ht="22.5" x14ac:dyDescent="0.25">
      <c r="A46" s="743">
        <f>IF(COUNTBLANK(B46)=1," ",COUNTA($B$12:B46))</f>
        <v>15</v>
      </c>
      <c r="B46" s="206" t="s">
        <v>14</v>
      </c>
      <c r="C46" s="330" t="s">
        <v>861</v>
      </c>
      <c r="D46" s="478" t="s">
        <v>17</v>
      </c>
      <c r="E46" s="482">
        <f>apjom!M76</f>
        <v>220.73849999999999</v>
      </c>
      <c r="F46" s="60"/>
      <c r="G46" s="211"/>
      <c r="H46" s="211"/>
      <c r="I46" s="212"/>
      <c r="J46" s="212"/>
      <c r="K46" s="211"/>
      <c r="L46" s="314"/>
      <c r="M46" s="315"/>
      <c r="N46" s="315"/>
      <c r="O46" s="315"/>
      <c r="P46" s="315"/>
      <c r="Q46" s="315"/>
    </row>
    <row r="47" spans="1:17" s="162" customFormat="1" x14ac:dyDescent="0.25">
      <c r="A47" s="743" t="str">
        <f>IF(COUNTBLANK(B47)=1," ",COUNTA($B$12:B47))</f>
        <v xml:space="preserve"> </v>
      </c>
      <c r="B47" s="210"/>
      <c r="C47" s="327" t="s">
        <v>170</v>
      </c>
      <c r="D47" s="480" t="s">
        <v>23</v>
      </c>
      <c r="E47" s="481">
        <f>E46*F47</f>
        <v>66.221550000000008</v>
      </c>
      <c r="F47" s="90">
        <v>0.30000000000000004</v>
      </c>
      <c r="G47" s="211"/>
      <c r="H47" s="211"/>
      <c r="I47" s="211"/>
      <c r="J47" s="211"/>
      <c r="K47" s="211"/>
      <c r="L47" s="314"/>
      <c r="M47" s="315"/>
      <c r="N47" s="315"/>
      <c r="O47" s="315"/>
      <c r="P47" s="315"/>
      <c r="Q47" s="315"/>
    </row>
    <row r="48" spans="1:17" s="162" customFormat="1" x14ac:dyDescent="0.25">
      <c r="A48" s="743" t="str">
        <f>IF(COUNTBLANK(B48)=1," ",COUNTA($B$12:B48))</f>
        <v xml:space="preserve"> </v>
      </c>
      <c r="B48" s="210"/>
      <c r="C48" s="327" t="s">
        <v>29</v>
      </c>
      <c r="D48" s="480" t="s">
        <v>17</v>
      </c>
      <c r="E48" s="481">
        <f>E46*F48</f>
        <v>242.81235000000001</v>
      </c>
      <c r="F48" s="60">
        <v>1.1000000000000001</v>
      </c>
      <c r="G48" s="211"/>
      <c r="H48" s="211"/>
      <c r="I48" s="211"/>
      <c r="J48" s="211"/>
      <c r="K48" s="211"/>
      <c r="L48" s="314"/>
      <c r="M48" s="315"/>
      <c r="N48" s="315"/>
      <c r="O48" s="315"/>
      <c r="P48" s="315"/>
      <c r="Q48" s="315"/>
    </row>
    <row r="49" spans="1:17" s="162" customFormat="1" x14ac:dyDescent="0.25">
      <c r="A49" s="743" t="str">
        <f>IF(COUNTBLANK(B49)=1," ",COUNTA($B$12:B49))</f>
        <v xml:space="preserve"> </v>
      </c>
      <c r="B49" s="210"/>
      <c r="C49" s="327" t="s">
        <v>176</v>
      </c>
      <c r="D49" s="480" t="s">
        <v>23</v>
      </c>
      <c r="E49" s="481">
        <f>E46*F49</f>
        <v>993.32324999999992</v>
      </c>
      <c r="F49" s="91">
        <v>4.5</v>
      </c>
      <c r="G49" s="211"/>
      <c r="H49" s="211"/>
      <c r="I49" s="211"/>
      <c r="J49" s="211"/>
      <c r="K49" s="211"/>
      <c r="L49" s="314"/>
      <c r="M49" s="315"/>
      <c r="N49" s="315"/>
      <c r="O49" s="315"/>
      <c r="P49" s="315"/>
      <c r="Q49" s="315"/>
    </row>
    <row r="50" spans="1:17" s="162" customFormat="1" ht="33.75" x14ac:dyDescent="0.25">
      <c r="A50" s="743" t="str">
        <f>IF(COUNTBLANK(B50)=1," ",COUNTA($B$12:B50))</f>
        <v xml:space="preserve"> </v>
      </c>
      <c r="B50" s="210"/>
      <c r="C50" s="327" t="s">
        <v>237</v>
      </c>
      <c r="D50" s="468" t="s">
        <v>32</v>
      </c>
      <c r="E50" s="481">
        <f>E46*F50</f>
        <v>1103.6924999999999</v>
      </c>
      <c r="F50" s="89">
        <v>5</v>
      </c>
      <c r="G50" s="211"/>
      <c r="H50" s="211"/>
      <c r="I50" s="211"/>
      <c r="J50" s="211"/>
      <c r="K50" s="211"/>
      <c r="L50" s="314"/>
      <c r="M50" s="315"/>
      <c r="N50" s="315"/>
      <c r="O50" s="315"/>
      <c r="P50" s="315"/>
      <c r="Q50" s="315"/>
    </row>
    <row r="51" spans="1:17" s="162" customFormat="1" x14ac:dyDescent="0.25">
      <c r="A51" s="743" t="str">
        <f>IF(COUNTBLANK(B51)=1," ",COUNTA($B$12:B51))</f>
        <v xml:space="preserve"> </v>
      </c>
      <c r="B51" s="210"/>
      <c r="C51" s="327" t="s">
        <v>175</v>
      </c>
      <c r="D51" s="480" t="s">
        <v>23</v>
      </c>
      <c r="E51" s="481">
        <f>E46*F51</f>
        <v>1103.6924999999999</v>
      </c>
      <c r="F51" s="60">
        <v>5</v>
      </c>
      <c r="G51" s="211"/>
      <c r="H51" s="211"/>
      <c r="I51" s="211"/>
      <c r="J51" s="211"/>
      <c r="K51" s="211"/>
      <c r="L51" s="314"/>
      <c r="M51" s="315"/>
      <c r="N51" s="315"/>
      <c r="O51" s="315"/>
      <c r="P51" s="315"/>
      <c r="Q51" s="315"/>
    </row>
    <row r="52" spans="1:17" s="162" customFormat="1" x14ac:dyDescent="0.25">
      <c r="A52" s="743" t="str">
        <f>IF(COUNTBLANK(B52)=1," ",COUNTA($B$12:B52))</f>
        <v xml:space="preserve"> </v>
      </c>
      <c r="B52" s="210"/>
      <c r="C52" s="327" t="s">
        <v>197</v>
      </c>
      <c r="D52" s="480" t="s">
        <v>17</v>
      </c>
      <c r="E52" s="481">
        <f>E46*F52</f>
        <v>242.81235000000001</v>
      </c>
      <c r="F52" s="60">
        <v>1.1000000000000001</v>
      </c>
      <c r="G52" s="136"/>
      <c r="H52" s="136"/>
      <c r="I52" s="136"/>
      <c r="J52" s="136"/>
      <c r="K52" s="136"/>
      <c r="L52" s="314"/>
      <c r="M52" s="315"/>
      <c r="N52" s="315"/>
      <c r="O52" s="315"/>
      <c r="P52" s="315"/>
      <c r="Q52" s="315"/>
    </row>
    <row r="53" spans="1:17" s="162" customFormat="1" x14ac:dyDescent="0.25">
      <c r="A53" s="743" t="str">
        <f>IF(COUNTBLANK(B53)=1," ",COUNTA($B$12:B53))</f>
        <v xml:space="preserve"> </v>
      </c>
      <c r="B53" s="210"/>
      <c r="C53" s="327" t="s">
        <v>174</v>
      </c>
      <c r="D53" s="473" t="s">
        <v>23</v>
      </c>
      <c r="E53" s="469">
        <f>E46*F53</f>
        <v>66.221549999999993</v>
      </c>
      <c r="F53" s="89">
        <v>0.3</v>
      </c>
      <c r="G53" s="60"/>
      <c r="H53" s="60"/>
      <c r="I53" s="60"/>
      <c r="J53" s="60"/>
      <c r="K53" s="60"/>
      <c r="L53" s="314"/>
      <c r="M53" s="315"/>
      <c r="N53" s="315"/>
      <c r="O53" s="315"/>
      <c r="P53" s="315"/>
      <c r="Q53" s="315"/>
    </row>
    <row r="54" spans="1:17" s="162" customFormat="1" x14ac:dyDescent="0.25">
      <c r="A54" s="743" t="str">
        <f>IF(COUNTBLANK(B54)=1," ",COUNTA($B$12:B54))</f>
        <v xml:space="preserve"> </v>
      </c>
      <c r="B54" s="210"/>
      <c r="C54" s="327" t="s">
        <v>175</v>
      </c>
      <c r="D54" s="473" t="s">
        <v>23</v>
      </c>
      <c r="E54" s="469">
        <f>E46*F54</f>
        <v>1103.6924999999999</v>
      </c>
      <c r="F54" s="60">
        <v>5</v>
      </c>
      <c r="G54" s="60"/>
      <c r="H54" s="60"/>
      <c r="I54" s="60"/>
      <c r="J54" s="60"/>
      <c r="K54" s="60"/>
      <c r="L54" s="314"/>
      <c r="M54" s="315"/>
      <c r="N54" s="315"/>
      <c r="O54" s="315"/>
      <c r="P54" s="315"/>
      <c r="Q54" s="315"/>
    </row>
    <row r="55" spans="1:17" s="162" customFormat="1" ht="22.5" x14ac:dyDescent="0.25">
      <c r="A55" s="743" t="str">
        <f>IF(COUNTBLANK(B55)=1," ",COUNTA($B$12:B55))</f>
        <v xml:space="preserve"> </v>
      </c>
      <c r="B55" s="210"/>
      <c r="C55" s="327" t="s">
        <v>234</v>
      </c>
      <c r="D55" s="473" t="s">
        <v>23</v>
      </c>
      <c r="E55" s="469">
        <f>E46*F55</f>
        <v>816.73244999999997</v>
      </c>
      <c r="F55" s="60">
        <v>3.7</v>
      </c>
      <c r="G55" s="60"/>
      <c r="H55" s="60"/>
      <c r="I55" s="60"/>
      <c r="J55" s="60"/>
      <c r="K55" s="60"/>
      <c r="L55" s="314"/>
      <c r="M55" s="315"/>
      <c r="N55" s="315"/>
      <c r="O55" s="315"/>
      <c r="P55" s="315"/>
      <c r="Q55" s="315"/>
    </row>
    <row r="56" spans="1:17" s="162" customFormat="1" ht="22.5" x14ac:dyDescent="0.25">
      <c r="A56" s="743">
        <f>IF(COUNTBLANK(B56)=1," ",COUNTA($B$12:B56))</f>
        <v>16</v>
      </c>
      <c r="B56" s="206" t="s">
        <v>14</v>
      </c>
      <c r="C56" s="330" t="s">
        <v>862</v>
      </c>
      <c r="D56" s="478" t="s">
        <v>17</v>
      </c>
      <c r="E56" s="482">
        <f>apjom!E90+apjom!E91</f>
        <v>803</v>
      </c>
      <c r="F56" s="60"/>
      <c r="G56" s="211"/>
      <c r="H56" s="211"/>
      <c r="I56" s="212"/>
      <c r="J56" s="212"/>
      <c r="K56" s="211"/>
      <c r="L56" s="314"/>
      <c r="M56" s="315"/>
      <c r="N56" s="315"/>
      <c r="O56" s="315"/>
      <c r="P56" s="315"/>
      <c r="Q56" s="315"/>
    </row>
    <row r="57" spans="1:17" s="162" customFormat="1" x14ac:dyDescent="0.25">
      <c r="A57" s="743" t="str">
        <f>IF(COUNTBLANK(B57)=1," ",COUNTA($B$12:B57))</f>
        <v xml:space="preserve"> </v>
      </c>
      <c r="B57" s="210"/>
      <c r="C57" s="327" t="s">
        <v>174</v>
      </c>
      <c r="D57" s="473" t="s">
        <v>23</v>
      </c>
      <c r="E57" s="469">
        <f>E56*F57</f>
        <v>240.89999999999998</v>
      </c>
      <c r="F57" s="89">
        <v>0.3</v>
      </c>
      <c r="G57" s="211"/>
      <c r="H57" s="211"/>
      <c r="I57" s="211"/>
      <c r="J57" s="211"/>
      <c r="K57" s="211"/>
      <c r="L57" s="314"/>
      <c r="M57" s="315"/>
      <c r="N57" s="315"/>
      <c r="O57" s="315"/>
      <c r="P57" s="315"/>
      <c r="Q57" s="315"/>
    </row>
    <row r="58" spans="1:17" s="162" customFormat="1" ht="22.5" x14ac:dyDescent="0.25">
      <c r="A58" s="743" t="str">
        <f>IF(COUNTBLANK(B58)=1," ",COUNTA($B$12:B58))</f>
        <v xml:space="preserve"> </v>
      </c>
      <c r="B58" s="210"/>
      <c r="C58" s="327" t="s">
        <v>234</v>
      </c>
      <c r="D58" s="473" t="s">
        <v>23</v>
      </c>
      <c r="E58" s="469">
        <f>E56*F58</f>
        <v>2971.1000000000004</v>
      </c>
      <c r="F58" s="60">
        <v>3.7</v>
      </c>
      <c r="G58" s="211"/>
      <c r="H58" s="211"/>
      <c r="I58" s="211"/>
      <c r="J58" s="211"/>
      <c r="K58" s="211"/>
      <c r="L58" s="314"/>
      <c r="M58" s="315"/>
      <c r="N58" s="315"/>
      <c r="O58" s="315"/>
      <c r="P58" s="315"/>
      <c r="Q58" s="315"/>
    </row>
    <row r="59" spans="1:17" s="162" customFormat="1" ht="22.5" x14ac:dyDescent="0.25">
      <c r="A59" s="743">
        <f>IF(COUNTBLANK(B59)=1," ",COUNTA($B$12:B59))</f>
        <v>17</v>
      </c>
      <c r="B59" s="206" t="s">
        <v>14</v>
      </c>
      <c r="C59" s="327" t="s">
        <v>204</v>
      </c>
      <c r="D59" s="480" t="s">
        <v>17</v>
      </c>
      <c r="E59" s="482">
        <f>apjom!E37*4*0.3*0.5</f>
        <v>342.59999999999997</v>
      </c>
      <c r="F59" s="90"/>
      <c r="G59" s="211"/>
      <c r="H59" s="211"/>
      <c r="I59" s="212"/>
      <c r="J59" s="212"/>
      <c r="K59" s="211"/>
      <c r="L59" s="314"/>
      <c r="M59" s="315"/>
      <c r="N59" s="315"/>
      <c r="O59" s="315"/>
      <c r="P59" s="315"/>
      <c r="Q59" s="315"/>
    </row>
    <row r="60" spans="1:17" s="162" customFormat="1" x14ac:dyDescent="0.25">
      <c r="A60" s="743" t="str">
        <f>IF(COUNTBLANK(B60)=1," ",COUNTA($B$12:B60))</f>
        <v xml:space="preserve"> </v>
      </c>
      <c r="B60" s="210"/>
      <c r="C60" s="327" t="s">
        <v>175</v>
      </c>
      <c r="D60" s="480" t="s">
        <v>23</v>
      </c>
      <c r="E60" s="481">
        <f>E61*F60</f>
        <v>1884.3000000000002</v>
      </c>
      <c r="F60" s="60">
        <v>5</v>
      </c>
      <c r="G60" s="136"/>
      <c r="H60" s="136"/>
      <c r="I60" s="136"/>
      <c r="J60" s="211"/>
      <c r="K60" s="136"/>
      <c r="L60" s="314"/>
      <c r="M60" s="315"/>
      <c r="N60" s="315"/>
      <c r="O60" s="315"/>
      <c r="P60" s="315"/>
      <c r="Q60" s="315"/>
    </row>
    <row r="61" spans="1:17" s="162" customFormat="1" x14ac:dyDescent="0.25">
      <c r="A61" s="743" t="str">
        <f>IF(COUNTBLANK(B61)=1," ",COUNTA($B$12:B61))</f>
        <v xml:space="preserve"> </v>
      </c>
      <c r="B61" s="210"/>
      <c r="C61" s="327" t="s">
        <v>197</v>
      </c>
      <c r="D61" s="480" t="s">
        <v>17</v>
      </c>
      <c r="E61" s="481">
        <f>E59*F61</f>
        <v>376.86</v>
      </c>
      <c r="F61" s="90">
        <v>1.1000000000000001</v>
      </c>
      <c r="G61" s="136"/>
      <c r="H61" s="136"/>
      <c r="I61" s="136"/>
      <c r="J61" s="211"/>
      <c r="K61" s="136"/>
      <c r="L61" s="314"/>
      <c r="M61" s="315"/>
      <c r="N61" s="315"/>
      <c r="O61" s="315"/>
      <c r="P61" s="315"/>
      <c r="Q61" s="315"/>
    </row>
    <row r="62" spans="1:17" s="162" customFormat="1" ht="45" x14ac:dyDescent="0.25">
      <c r="A62" s="743">
        <f>IF(COUNTBLANK(B62)=1," ",COUNTA($B$12:B62))</f>
        <v>18</v>
      </c>
      <c r="B62" s="206" t="s">
        <v>14</v>
      </c>
      <c r="C62" s="325" t="s">
        <v>177</v>
      </c>
      <c r="D62" s="480" t="s">
        <v>17</v>
      </c>
      <c r="E62" s="469">
        <f>apjom!M76</f>
        <v>220.73849999999999</v>
      </c>
      <c r="F62" s="60"/>
      <c r="G62" s="211"/>
      <c r="H62" s="211"/>
      <c r="I62" s="212"/>
      <c r="J62" s="212"/>
      <c r="K62" s="211"/>
      <c r="L62" s="314"/>
      <c r="M62" s="315"/>
      <c r="N62" s="315"/>
      <c r="O62" s="315"/>
      <c r="P62" s="315"/>
      <c r="Q62" s="315"/>
    </row>
    <row r="63" spans="1:17" s="39" customFormat="1" x14ac:dyDescent="0.25">
      <c r="A63" s="743" t="str">
        <f>IF(COUNTBLANK(B63)=1," ",COUNTA($B$12:B63))</f>
        <v xml:space="preserve"> </v>
      </c>
      <c r="B63" s="210"/>
      <c r="C63" s="327" t="s">
        <v>175</v>
      </c>
      <c r="D63" s="480" t="s">
        <v>23</v>
      </c>
      <c r="E63" s="481">
        <f>E62*F63</f>
        <v>1103.6924999999999</v>
      </c>
      <c r="F63" s="91">
        <v>5</v>
      </c>
      <c r="G63" s="136"/>
      <c r="H63" s="136"/>
      <c r="I63" s="136"/>
      <c r="J63" s="211"/>
      <c r="K63" s="136"/>
      <c r="L63" s="314"/>
      <c r="M63" s="315"/>
      <c r="N63" s="315"/>
      <c r="O63" s="315"/>
      <c r="P63" s="315"/>
      <c r="Q63" s="315"/>
    </row>
    <row r="64" spans="1:17" s="39" customFormat="1" x14ac:dyDescent="0.25">
      <c r="A64" s="743" t="str">
        <f>IF(COUNTBLANK(B64)=1," ",COUNTA($B$12:B64))</f>
        <v xml:space="preserve"> </v>
      </c>
      <c r="B64" s="210"/>
      <c r="C64" s="327" t="s">
        <v>197</v>
      </c>
      <c r="D64" s="480" t="s">
        <v>17</v>
      </c>
      <c r="E64" s="479">
        <f>E62*F64</f>
        <v>242.81235000000001</v>
      </c>
      <c r="F64" s="89">
        <v>1.1000000000000001</v>
      </c>
      <c r="G64" s="136"/>
      <c r="H64" s="136"/>
      <c r="I64" s="136"/>
      <c r="J64" s="136"/>
      <c r="K64" s="136"/>
      <c r="L64" s="314"/>
      <c r="M64" s="315"/>
      <c r="N64" s="315"/>
      <c r="O64" s="315"/>
      <c r="P64" s="315"/>
      <c r="Q64" s="315"/>
    </row>
    <row r="65" spans="1:17" s="27" customFormat="1" x14ac:dyDescent="0.25">
      <c r="A65" s="743">
        <f>IF(COUNTBLANK(B65)=1," ",COUNTA($B$12:B65))</f>
        <v>19</v>
      </c>
      <c r="B65" s="206" t="s">
        <v>14</v>
      </c>
      <c r="C65" s="325" t="s">
        <v>205</v>
      </c>
      <c r="D65" s="468" t="s">
        <v>16</v>
      </c>
      <c r="E65" s="469">
        <f>apjom!K37*1.1</f>
        <v>3501.2340000000004</v>
      </c>
      <c r="F65" s="90"/>
      <c r="G65" s="136"/>
      <c r="H65" s="211"/>
      <c r="I65" s="12"/>
      <c r="J65" s="136"/>
      <c r="K65" s="136"/>
      <c r="L65" s="314"/>
      <c r="M65" s="315"/>
      <c r="N65" s="315"/>
      <c r="O65" s="315"/>
      <c r="P65" s="315"/>
      <c r="Q65" s="315"/>
    </row>
    <row r="66" spans="1:17" s="27" customFormat="1" x14ac:dyDescent="0.25">
      <c r="A66" s="743">
        <f>IF(COUNTBLANK(B66)=1," ",COUNTA($B$12:B66))</f>
        <v>20</v>
      </c>
      <c r="B66" s="206" t="s">
        <v>14</v>
      </c>
      <c r="C66" s="325" t="s">
        <v>206</v>
      </c>
      <c r="D66" s="468" t="s">
        <v>16</v>
      </c>
      <c r="E66" s="469">
        <f>apjom!L37*1.1</f>
        <v>1695.144</v>
      </c>
      <c r="F66" s="90"/>
      <c r="G66" s="136"/>
      <c r="H66" s="211"/>
      <c r="I66" s="12"/>
      <c r="J66" s="136"/>
      <c r="K66" s="136"/>
      <c r="L66" s="314"/>
      <c r="M66" s="315"/>
      <c r="N66" s="315"/>
      <c r="O66" s="315"/>
      <c r="P66" s="315"/>
      <c r="Q66" s="315"/>
    </row>
    <row r="67" spans="1:17" s="27" customFormat="1" x14ac:dyDescent="0.25">
      <c r="A67" s="743">
        <f>IF(COUNTBLANK(B67)=1," ",COUNTA($B$12:B67))</f>
        <v>21</v>
      </c>
      <c r="B67" s="206" t="s">
        <v>14</v>
      </c>
      <c r="C67" s="325" t="str">
        <f>apjom!Q2</f>
        <v>Stūra profils  EC S vai ekvivalents</v>
      </c>
      <c r="D67" s="468" t="s">
        <v>16</v>
      </c>
      <c r="E67" s="469">
        <f>apjom!Q37</f>
        <v>2273.5600000000004</v>
      </c>
      <c r="F67" s="60"/>
      <c r="G67" s="136"/>
      <c r="H67" s="211"/>
      <c r="I67" s="12"/>
      <c r="J67" s="136"/>
      <c r="K67" s="136"/>
      <c r="L67" s="314"/>
      <c r="M67" s="315"/>
      <c r="N67" s="315"/>
      <c r="O67" s="315"/>
      <c r="P67" s="315"/>
      <c r="Q67" s="315"/>
    </row>
    <row r="68" spans="1:17" s="27" customFormat="1" x14ac:dyDescent="0.25">
      <c r="A68" s="743">
        <f>IF(COUNTBLANK(B68)=1," ",COUNTA($B$12:B68))</f>
        <v>22</v>
      </c>
      <c r="B68" s="206" t="s">
        <v>14</v>
      </c>
      <c r="C68" s="325" t="str">
        <f>apjom!R2</f>
        <v>Loga pielaiduma profils EW vai ekvivalents</v>
      </c>
      <c r="D68" s="468" t="s">
        <v>16</v>
      </c>
      <c r="E68" s="471">
        <f>apjom!Q37</f>
        <v>2273.5600000000004</v>
      </c>
      <c r="F68" s="60"/>
      <c r="G68" s="136"/>
      <c r="H68" s="211"/>
      <c r="I68" s="12"/>
      <c r="J68" s="136"/>
      <c r="K68" s="136"/>
      <c r="L68" s="314"/>
      <c r="M68" s="315"/>
      <c r="N68" s="315"/>
      <c r="O68" s="315"/>
      <c r="P68" s="315"/>
      <c r="Q68" s="315"/>
    </row>
    <row r="69" spans="1:17" s="51" customFormat="1" x14ac:dyDescent="0.25">
      <c r="A69" s="743">
        <f>IF(COUNTBLANK(B69)=1," ",COUNTA($B$12:B69))</f>
        <v>23</v>
      </c>
      <c r="B69" s="206" t="s">
        <v>14</v>
      </c>
      <c r="C69" s="325" t="str">
        <f>apjom!S2</f>
        <v>Stūra lāsenis ED CO2 vai ekvivalents</v>
      </c>
      <c r="D69" s="483" t="s">
        <v>16</v>
      </c>
      <c r="E69" s="471">
        <f>apjom!R37</f>
        <v>2273.5600000000004</v>
      </c>
      <c r="F69" s="60"/>
      <c r="G69" s="136"/>
      <c r="H69" s="211"/>
      <c r="I69" s="12"/>
      <c r="J69" s="136"/>
      <c r="K69" s="136"/>
      <c r="L69" s="314"/>
      <c r="M69" s="315"/>
      <c r="N69" s="315"/>
      <c r="O69" s="315"/>
      <c r="P69" s="315"/>
      <c r="Q69" s="315"/>
    </row>
    <row r="70" spans="1:17" s="51" customFormat="1" x14ac:dyDescent="0.25">
      <c r="A70" s="743">
        <f>IF(COUNTBLANK(B70)=1," ",COUNTA($B$12:B70))</f>
        <v>24</v>
      </c>
      <c r="B70" s="206" t="s">
        <v>14</v>
      </c>
      <c r="C70" s="325" t="str">
        <f>apjom!T2</f>
        <v>Palodzes montāžas profils EW US01 vai ekvivalents</v>
      </c>
      <c r="D70" s="483" t="s">
        <v>16</v>
      </c>
      <c r="E70" s="471">
        <f>apjom!S37</f>
        <v>909.38000000000011</v>
      </c>
      <c r="F70" s="60"/>
      <c r="G70" s="136"/>
      <c r="H70" s="211"/>
      <c r="I70" s="12"/>
      <c r="J70" s="136"/>
      <c r="K70" s="136"/>
      <c r="L70" s="314"/>
      <c r="M70" s="315"/>
      <c r="N70" s="315"/>
      <c r="O70" s="315"/>
      <c r="P70" s="315"/>
      <c r="Q70" s="315"/>
    </row>
    <row r="71" spans="1:17" s="51" customFormat="1" x14ac:dyDescent="0.25">
      <c r="A71" s="743">
        <f>IF(COUNTBLANK(B71)=1," ",COUNTA($B$12:B71))</f>
        <v>25</v>
      </c>
      <c r="B71" s="206" t="s">
        <v>14</v>
      </c>
      <c r="C71" s="331" t="str">
        <f>apjom!U2</f>
        <v>Cokola profils EB PVC VARIO 220 vai ekvivalents</v>
      </c>
      <c r="D71" s="468" t="s">
        <v>16</v>
      </c>
      <c r="E71" s="479">
        <f>apjom!T37</f>
        <v>789.26</v>
      </c>
      <c r="F71" s="60"/>
      <c r="G71" s="136"/>
      <c r="H71" s="211"/>
      <c r="I71" s="12"/>
      <c r="J71" s="136"/>
      <c r="K71" s="136"/>
      <c r="L71" s="314"/>
      <c r="M71" s="315"/>
      <c r="N71" s="315"/>
      <c r="O71" s="315"/>
      <c r="P71" s="315"/>
      <c r="Q71" s="315"/>
    </row>
    <row r="72" spans="1:17" s="147" customFormat="1" x14ac:dyDescent="0.25">
      <c r="A72" s="743">
        <f>IF(COUNTBLANK(B72)=1," ",COUNTA($B$12:B72))</f>
        <v>26</v>
      </c>
      <c r="B72" s="206" t="s">
        <v>14</v>
      </c>
      <c r="C72" s="325" t="s">
        <v>178</v>
      </c>
      <c r="D72" s="472" t="s">
        <v>16</v>
      </c>
      <c r="E72" s="469">
        <v>360</v>
      </c>
      <c r="F72" s="60"/>
      <c r="G72" s="136"/>
      <c r="H72" s="211"/>
      <c r="I72" s="12"/>
      <c r="J72" s="136"/>
      <c r="K72" s="136"/>
      <c r="L72" s="314"/>
      <c r="M72" s="315"/>
      <c r="N72" s="315"/>
      <c r="O72" s="315"/>
      <c r="P72" s="315"/>
      <c r="Q72" s="315"/>
    </row>
    <row r="73" spans="1:17" s="39" customFormat="1" x14ac:dyDescent="0.25">
      <c r="A73" s="743">
        <f>IF(COUNTBLANK(B73)=1," ",COUNTA($B$12:B73))</f>
        <v>27</v>
      </c>
      <c r="B73" s="206" t="s">
        <v>14</v>
      </c>
      <c r="C73" s="327" t="s">
        <v>50</v>
      </c>
      <c r="D73" s="468" t="s">
        <v>32</v>
      </c>
      <c r="E73" s="484">
        <v>1</v>
      </c>
      <c r="F73" s="15"/>
      <c r="G73" s="209"/>
      <c r="H73" s="211"/>
      <c r="I73" s="212"/>
      <c r="J73" s="209"/>
      <c r="K73" s="209"/>
      <c r="L73" s="314"/>
      <c r="M73" s="315"/>
      <c r="N73" s="315"/>
      <c r="O73" s="315"/>
      <c r="P73" s="315"/>
      <c r="Q73" s="315"/>
    </row>
    <row r="74" spans="1:17" s="39" customFormat="1" x14ac:dyDescent="0.25">
      <c r="A74" s="743">
        <f>IF(COUNTBLANK(B74)=1," ",COUNTA($B$12:B74))</f>
        <v>28</v>
      </c>
      <c r="B74" s="206" t="s">
        <v>14</v>
      </c>
      <c r="C74" s="332" t="s">
        <v>30</v>
      </c>
      <c r="D74" s="485" t="s">
        <v>26</v>
      </c>
      <c r="E74" s="486">
        <v>100</v>
      </c>
      <c r="F74" s="60"/>
      <c r="G74" s="212"/>
      <c r="H74" s="211"/>
      <c r="I74" s="639"/>
      <c r="J74" s="640"/>
      <c r="K74" s="212"/>
      <c r="L74" s="314"/>
      <c r="M74" s="315"/>
      <c r="N74" s="315"/>
      <c r="O74" s="315"/>
      <c r="P74" s="315"/>
      <c r="Q74" s="315"/>
    </row>
    <row r="75" spans="1:17" x14ac:dyDescent="0.25">
      <c r="A75" s="743" t="str">
        <f>IF(COUNTBLANK(B75)=1," ",COUNTA($B$12:B75))</f>
        <v xml:space="preserve"> </v>
      </c>
      <c r="B75" s="206"/>
      <c r="C75" s="332" t="s">
        <v>31</v>
      </c>
      <c r="D75" s="485" t="s">
        <v>32</v>
      </c>
      <c r="E75" s="290">
        <f>ROUNDUP(E74*F75,0)</f>
        <v>15</v>
      </c>
      <c r="F75" s="274">
        <v>0.14285714285714299</v>
      </c>
      <c r="G75" s="212"/>
      <c r="H75" s="212"/>
      <c r="I75" s="639"/>
      <c r="J75" s="640"/>
      <c r="K75" s="212"/>
      <c r="L75" s="314"/>
      <c r="M75" s="315"/>
      <c r="N75" s="315"/>
      <c r="O75" s="315"/>
      <c r="P75" s="315"/>
      <c r="Q75" s="315"/>
    </row>
    <row r="76" spans="1:17" x14ac:dyDescent="0.25">
      <c r="A76" s="250"/>
      <c r="B76" s="213"/>
      <c r="C76" s="333"/>
      <c r="D76" s="487"/>
      <c r="E76" s="488"/>
      <c r="F76" s="41"/>
      <c r="G76" s="214"/>
      <c r="H76" s="214"/>
      <c r="I76" s="215"/>
      <c r="J76" s="216"/>
      <c r="K76" s="214"/>
      <c r="L76" s="38"/>
      <c r="M76" s="38"/>
      <c r="N76" s="38"/>
      <c r="O76" s="38"/>
      <c r="P76" s="38"/>
      <c r="Q76" s="38"/>
    </row>
    <row r="77" spans="1:17" ht="22.5" x14ac:dyDescent="0.25">
      <c r="A77" s="250"/>
      <c r="B77" s="213"/>
      <c r="C77" s="334" t="s">
        <v>179</v>
      </c>
      <c r="D77" s="248"/>
      <c r="E77" s="245"/>
      <c r="F77" s="162"/>
      <c r="G77" s="17"/>
      <c r="H77" s="17"/>
      <c r="I77" s="17"/>
      <c r="J77" s="17"/>
      <c r="K77" s="17"/>
      <c r="L77" s="17"/>
      <c r="M77" s="20">
        <f>SUM(M12:M75)</f>
        <v>0</v>
      </c>
      <c r="N77" s="20">
        <f>SUM(N12:N75)</f>
        <v>0</v>
      </c>
      <c r="O77" s="20">
        <f>SUM(O12:O75)</f>
        <v>0</v>
      </c>
      <c r="P77" s="20">
        <f>SUM(P12:P75)</f>
        <v>0</v>
      </c>
      <c r="Q77" s="20">
        <f>SUM(Q12:Q75)</f>
        <v>0</v>
      </c>
    </row>
    <row r="78" spans="1:17" x14ac:dyDescent="0.25">
      <c r="A78" s="250"/>
      <c r="B78" s="213"/>
      <c r="C78" s="333"/>
      <c r="D78" s="487"/>
      <c r="E78" s="488"/>
      <c r="F78" s="41"/>
      <c r="G78" s="214"/>
      <c r="H78" s="214"/>
      <c r="I78" s="215"/>
      <c r="J78" s="216"/>
      <c r="K78" s="214"/>
      <c r="L78" s="38"/>
      <c r="M78" s="38"/>
      <c r="N78" s="38"/>
      <c r="O78" s="38"/>
      <c r="P78" s="38"/>
      <c r="Q78" s="38"/>
    </row>
    <row r="79" spans="1:17" x14ac:dyDescent="0.25">
      <c r="A79" s="738"/>
      <c r="B79" s="45"/>
      <c r="C79" s="335"/>
      <c r="D79" s="491"/>
      <c r="E79" s="492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</row>
    <row r="80" spans="1:17" x14ac:dyDescent="0.25">
      <c r="A80" s="738"/>
      <c r="B80" s="140" t="str">
        <f>sas</f>
        <v>Sastādīja:</v>
      </c>
      <c r="C80" s="140"/>
      <c r="D80" s="493"/>
      <c r="E80" s="493"/>
      <c r="F80" s="94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</row>
    <row r="81" spans="1:17" x14ac:dyDescent="0.25">
      <c r="A81" s="738"/>
      <c r="B81" s="140"/>
      <c r="C81" s="385" t="s">
        <v>145</v>
      </c>
      <c r="F81" s="94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</row>
    <row r="82" spans="1:17" x14ac:dyDescent="0.25">
      <c r="B82" s="161"/>
      <c r="C82" s="138"/>
      <c r="F82" s="94"/>
      <c r="G82" s="153"/>
      <c r="H82" s="154"/>
      <c r="I82" s="154"/>
      <c r="J82" s="154"/>
      <c r="K82" s="154"/>
      <c r="L82" s="154"/>
      <c r="M82" s="154"/>
      <c r="N82" s="154"/>
      <c r="O82" s="154"/>
      <c r="P82" s="154"/>
      <c r="Q82" s="154"/>
    </row>
    <row r="83" spans="1:17" x14ac:dyDescent="0.25">
      <c r="B83" s="140" t="str">
        <f>dat</f>
        <v>Tāme sastādīta 201__. gada __.____________</v>
      </c>
      <c r="C83" s="140"/>
      <c r="F83" s="94"/>
      <c r="G83" s="155"/>
      <c r="H83" s="154"/>
      <c r="I83" s="154"/>
      <c r="J83" s="154"/>
      <c r="K83" s="154"/>
      <c r="L83" s="154"/>
      <c r="M83" s="154"/>
      <c r="N83" s="154"/>
      <c r="O83" s="154"/>
      <c r="P83" s="154"/>
      <c r="Q83" s="154"/>
    </row>
    <row r="84" spans="1:17" x14ac:dyDescent="0.25">
      <c r="B84" s="161"/>
      <c r="C84" s="138"/>
      <c r="F84" s="94"/>
      <c r="G84" s="153"/>
      <c r="H84" s="154"/>
      <c r="I84" s="154"/>
      <c r="J84" s="154"/>
      <c r="K84" s="154"/>
      <c r="L84" s="154"/>
      <c r="M84" s="154"/>
      <c r="N84" s="154"/>
      <c r="O84" s="154"/>
      <c r="P84" s="154"/>
      <c r="Q84" s="154"/>
    </row>
    <row r="85" spans="1:17" x14ac:dyDescent="0.25">
      <c r="B85" s="140" t="s">
        <v>147</v>
      </c>
      <c r="C85" s="140"/>
      <c r="F85" s="45"/>
    </row>
    <row r="86" spans="1:17" x14ac:dyDescent="0.25">
      <c r="B86" s="140"/>
      <c r="C86" s="385" t="s">
        <v>145</v>
      </c>
      <c r="F86" s="45"/>
    </row>
    <row r="87" spans="1:17" x14ac:dyDescent="0.25">
      <c r="B87" s="161"/>
      <c r="C87" s="140" t="s">
        <v>148</v>
      </c>
      <c r="F87" s="45"/>
    </row>
    <row r="88" spans="1:17" x14ac:dyDescent="0.25">
      <c r="C88" s="140"/>
      <c r="D88" s="495"/>
    </row>
  </sheetData>
  <autoFilter ref="A11:IF75" xr:uid="{00000000-0009-0000-0000-000003000000}"/>
  <mergeCells count="7">
    <mergeCell ref="M9:Q9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N99"/>
  <sheetViews>
    <sheetView view="pageBreakPreview" topLeftCell="A53" zoomScale="85" zoomScaleNormal="85" zoomScaleSheetLayoutView="85" workbookViewId="0">
      <selection activeCell="C83" sqref="C83"/>
    </sheetView>
  </sheetViews>
  <sheetFormatPr defaultColWidth="8.7109375" defaultRowHeight="11.25" x14ac:dyDescent="0.25"/>
  <cols>
    <col min="1" max="1" width="4.28515625" style="32" customWidth="1"/>
    <col min="2" max="2" width="4.28515625" style="100" customWidth="1"/>
    <col min="3" max="3" width="40.7109375" style="129" customWidth="1"/>
    <col min="4" max="4" width="2.42578125" style="732" bestFit="1" customWidth="1"/>
    <col min="5" max="6" width="3.42578125" style="732" bestFit="1" customWidth="1"/>
    <col min="7" max="7" width="5.42578125" style="100" customWidth="1"/>
    <col min="8" max="8" width="8.140625" style="100" customWidth="1"/>
    <col min="9" max="9" width="7.42578125" style="100" hidden="1" customWidth="1"/>
    <col min="10" max="10" width="7" style="45" customWidth="1"/>
    <col min="11" max="12" width="6.7109375" style="100" customWidth="1"/>
    <col min="13" max="13" width="6.42578125" style="100" customWidth="1"/>
    <col min="14" max="14" width="5.7109375" style="100" customWidth="1"/>
    <col min="15" max="15" width="7.42578125" style="100" customWidth="1"/>
    <col min="16" max="16" width="7.28515625" style="100" customWidth="1"/>
    <col min="17" max="17" width="9.7109375" style="100" customWidth="1"/>
    <col min="18" max="18" width="8.7109375" style="100" customWidth="1"/>
    <col min="19" max="19" width="7.85546875" style="100" customWidth="1"/>
    <col min="20" max="20" width="8.5703125" style="100" customWidth="1"/>
    <col min="21" max="16384" width="8.7109375" style="100"/>
  </cols>
  <sheetData>
    <row r="1" spans="1:20" s="27" customFormat="1" ht="12" thickBot="1" x14ac:dyDescent="0.3">
      <c r="A1" s="837" t="s">
        <v>6</v>
      </c>
      <c r="B1" s="837"/>
      <c r="C1" s="837"/>
      <c r="D1" s="837"/>
      <c r="E1" s="837"/>
      <c r="F1" s="837"/>
      <c r="G1" s="837"/>
      <c r="H1" s="837"/>
      <c r="I1" s="837"/>
      <c r="J1" s="838"/>
      <c r="K1" s="42">
        <f>KPDV!A15</f>
        <v>3</v>
      </c>
      <c r="L1" s="26"/>
      <c r="M1" s="26"/>
      <c r="N1" s="26"/>
      <c r="O1" s="26"/>
      <c r="P1" s="26"/>
    </row>
    <row r="2" spans="1:20" s="27" customFormat="1" x14ac:dyDescent="0.25">
      <c r="A2" s="267"/>
      <c r="B2" s="731"/>
      <c r="C2" s="141" t="s">
        <v>559</v>
      </c>
      <c r="D2" s="219"/>
      <c r="E2" s="219"/>
      <c r="F2" s="219"/>
      <c r="G2" s="731"/>
      <c r="H2" s="731"/>
      <c r="I2" s="731"/>
      <c r="J2" s="741"/>
      <c r="K2" s="92"/>
      <c r="L2" s="26"/>
      <c r="M2" s="26"/>
      <c r="N2" s="26"/>
      <c r="O2" s="26"/>
      <c r="P2" s="26"/>
    </row>
    <row r="3" spans="1:20" x14ac:dyDescent="0.25">
      <c r="A3" s="190" t="str">
        <f>nos</f>
        <v>Būves nosaukums:  Dzīvojamās māja</v>
      </c>
      <c r="B3" s="4"/>
      <c r="C3" s="28"/>
      <c r="D3" s="220"/>
      <c r="E3" s="220"/>
      <c r="F3" s="22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168" t="str">
        <f>obj</f>
        <v>Objekta nosaukums: Dzīvojamās ēkas fasādes vienkāršota atjaunošana</v>
      </c>
      <c r="B4" s="4"/>
      <c r="C4" s="28"/>
      <c r="D4" s="220"/>
      <c r="E4" s="220"/>
      <c r="F4" s="22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168" t="str">
        <f>adres</f>
        <v>Objekta adrese: Aisteres iela 7, Liepājā</v>
      </c>
      <c r="B5" s="4"/>
      <c r="C5" s="28"/>
      <c r="D5" s="220"/>
      <c r="E5" s="220"/>
      <c r="F5" s="22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" thickBot="1" x14ac:dyDescent="0.3">
      <c r="A6" s="168" t="str">
        <f>nr</f>
        <v>Pasūtījuma Nr.WS-41-17</v>
      </c>
      <c r="B6" s="4"/>
      <c r="C6" s="28"/>
      <c r="D6" s="220"/>
      <c r="E6" s="220"/>
      <c r="F6" s="22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3.25" thickBot="1" x14ac:dyDescent="0.3">
      <c r="A7" s="190"/>
      <c r="B7" s="7"/>
      <c r="C7" s="186" t="s">
        <v>695</v>
      </c>
      <c r="D7" s="221"/>
      <c r="E7" s="221"/>
      <c r="F7" s="221"/>
      <c r="G7" s="162"/>
      <c r="H7" s="187" t="s">
        <v>142</v>
      </c>
      <c r="I7" s="7" t="s">
        <v>143</v>
      </c>
      <c r="J7" s="7"/>
      <c r="K7" s="7"/>
      <c r="L7" s="7"/>
      <c r="M7" s="7"/>
      <c r="N7" s="7"/>
      <c r="O7" s="7"/>
      <c r="P7" s="7"/>
      <c r="Q7" s="7"/>
      <c r="R7" s="7"/>
      <c r="S7" s="163" t="s">
        <v>144</v>
      </c>
      <c r="T7" s="29">
        <f>T90</f>
        <v>0</v>
      </c>
    </row>
    <row r="8" spans="1:20" x14ac:dyDescent="0.25">
      <c r="A8" s="182"/>
      <c r="B8" s="187"/>
      <c r="C8" s="158"/>
      <c r="D8" s="17"/>
      <c r="E8" s="17"/>
      <c r="F8" s="1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62"/>
      <c r="R8" s="188"/>
      <c r="S8" s="189" t="str">
        <f>KPDV!C47</f>
        <v>Tāme sastādīta 201__. gada __.____________</v>
      </c>
      <c r="T8" s="4"/>
    </row>
    <row r="9" spans="1:20" s="32" customFormat="1" x14ac:dyDescent="0.25">
      <c r="A9" s="830" t="s">
        <v>7</v>
      </c>
      <c r="B9" s="831" t="s">
        <v>8</v>
      </c>
      <c r="C9" s="835" t="s">
        <v>132</v>
      </c>
      <c r="D9" s="835"/>
      <c r="E9" s="835"/>
      <c r="F9" s="835"/>
      <c r="G9" s="839" t="s">
        <v>51</v>
      </c>
      <c r="H9" s="831" t="s">
        <v>114</v>
      </c>
      <c r="I9" s="727"/>
      <c r="J9" s="829" t="s">
        <v>133</v>
      </c>
      <c r="K9" s="829"/>
      <c r="L9" s="829"/>
      <c r="M9" s="829"/>
      <c r="N9" s="829"/>
      <c r="O9" s="829"/>
      <c r="P9" s="829" t="s">
        <v>134</v>
      </c>
      <c r="Q9" s="829"/>
      <c r="R9" s="829"/>
      <c r="S9" s="829"/>
      <c r="T9" s="829"/>
    </row>
    <row r="10" spans="1:20" s="32" customFormat="1" ht="69" x14ac:dyDescent="0.25">
      <c r="A10" s="830"/>
      <c r="B10" s="831"/>
      <c r="C10" s="835"/>
      <c r="D10" s="835"/>
      <c r="E10" s="835"/>
      <c r="F10" s="835"/>
      <c r="G10" s="839"/>
      <c r="H10" s="831"/>
      <c r="I10" s="727"/>
      <c r="J10" s="749" t="s">
        <v>563</v>
      </c>
      <c r="K10" s="749" t="s">
        <v>564</v>
      </c>
      <c r="L10" s="749" t="s">
        <v>565</v>
      </c>
      <c r="M10" s="749" t="s">
        <v>566</v>
      </c>
      <c r="N10" s="749" t="s">
        <v>567</v>
      </c>
      <c r="O10" s="749" t="s">
        <v>568</v>
      </c>
      <c r="P10" s="749" t="s">
        <v>569</v>
      </c>
      <c r="Q10" s="749" t="s">
        <v>565</v>
      </c>
      <c r="R10" s="749" t="s">
        <v>566</v>
      </c>
      <c r="S10" s="749" t="s">
        <v>567</v>
      </c>
      <c r="T10" s="749" t="s">
        <v>562</v>
      </c>
    </row>
    <row r="11" spans="1:20" s="32" customFormat="1" x14ac:dyDescent="0.25">
      <c r="A11" s="410">
        <v>1</v>
      </c>
      <c r="B11" s="33">
        <f>A11+1</f>
        <v>2</v>
      </c>
      <c r="C11" s="836">
        <f>B11+1</f>
        <v>3</v>
      </c>
      <c r="D11" s="836"/>
      <c r="E11" s="836"/>
      <c r="F11" s="836"/>
      <c r="G11" s="33">
        <f>C11+1</f>
        <v>4</v>
      </c>
      <c r="H11" s="33">
        <f>G11+1</f>
        <v>5</v>
      </c>
      <c r="I11" s="145"/>
      <c r="J11" s="595">
        <f>H11+1</f>
        <v>6</v>
      </c>
      <c r="K11" s="595">
        <f t="shared" ref="K11:T11" si="0">J11+1</f>
        <v>7</v>
      </c>
      <c r="L11" s="595">
        <f t="shared" si="0"/>
        <v>8</v>
      </c>
      <c r="M11" s="595">
        <f t="shared" si="0"/>
        <v>9</v>
      </c>
      <c r="N11" s="595">
        <f t="shared" si="0"/>
        <v>10</v>
      </c>
      <c r="O11" s="595">
        <f t="shared" si="0"/>
        <v>11</v>
      </c>
      <c r="P11" s="595">
        <f t="shared" si="0"/>
        <v>12</v>
      </c>
      <c r="Q11" s="595">
        <f t="shared" si="0"/>
        <v>13</v>
      </c>
      <c r="R11" s="595">
        <f t="shared" si="0"/>
        <v>14</v>
      </c>
      <c r="S11" s="595">
        <f t="shared" si="0"/>
        <v>15</v>
      </c>
      <c r="T11" s="595">
        <f t="shared" si="0"/>
        <v>16</v>
      </c>
    </row>
    <row r="12" spans="1:20" x14ac:dyDescent="0.25">
      <c r="A12" s="587">
        <f>IF(COUNTBLANK(B12)=1," ",COUNTA($B$12:B12))</f>
        <v>1</v>
      </c>
      <c r="B12" s="588" t="s">
        <v>14</v>
      </c>
      <c r="C12" s="589" t="s">
        <v>15</v>
      </c>
      <c r="D12" s="590"/>
      <c r="E12" s="590"/>
      <c r="F12" s="590"/>
      <c r="G12" s="590" t="s">
        <v>16</v>
      </c>
      <c r="H12" s="591">
        <f>apjom!P37</f>
        <v>828.72299999999996</v>
      </c>
      <c r="I12" s="497"/>
      <c r="J12" s="592"/>
      <c r="K12" s="503"/>
      <c r="L12" s="592"/>
      <c r="M12" s="592"/>
      <c r="N12" s="592"/>
      <c r="O12" s="593"/>
      <c r="P12" s="594"/>
      <c r="Q12" s="594"/>
      <c r="R12" s="594"/>
      <c r="S12" s="594"/>
      <c r="T12" s="594"/>
    </row>
    <row r="13" spans="1:20" ht="22.5" x14ac:dyDescent="0.25">
      <c r="A13" s="52">
        <f>IF(COUNTBLANK(B13)=1," ",COUNTA($B$12:B13))</f>
        <v>2</v>
      </c>
      <c r="B13" s="13" t="s">
        <v>14</v>
      </c>
      <c r="C13" s="14" t="s">
        <v>860</v>
      </c>
      <c r="D13" s="57"/>
      <c r="E13" s="57"/>
      <c r="F13" s="57"/>
      <c r="G13" s="57" t="s">
        <v>17</v>
      </c>
      <c r="H13" s="85">
        <f>apjom!J17+apjom!I22+apjom!J29</f>
        <v>380.39000000000004</v>
      </c>
      <c r="I13" s="34"/>
      <c r="J13" s="500"/>
      <c r="K13" s="499"/>
      <c r="L13" s="500"/>
      <c r="M13" s="500"/>
      <c r="N13" s="500"/>
      <c r="O13" s="314"/>
      <c r="P13" s="315"/>
      <c r="Q13" s="315"/>
      <c r="R13" s="315"/>
      <c r="S13" s="315"/>
      <c r="T13" s="315"/>
    </row>
    <row r="14" spans="1:20" ht="22.5" x14ac:dyDescent="0.25">
      <c r="A14" s="52">
        <f>IF(COUNTBLANK(B14)=1," ",COUNTA($B$12:B14))</f>
        <v>3</v>
      </c>
      <c r="B14" s="13" t="s">
        <v>14</v>
      </c>
      <c r="C14" s="14" t="s">
        <v>192</v>
      </c>
      <c r="D14" s="57"/>
      <c r="E14" s="57"/>
      <c r="F14" s="57"/>
      <c r="G14" s="57" t="s">
        <v>193</v>
      </c>
      <c r="H14" s="85">
        <f>SUM(D65:D68)</f>
        <v>89</v>
      </c>
      <c r="I14" s="34"/>
      <c r="J14" s="500"/>
      <c r="K14" s="499"/>
      <c r="L14" s="500"/>
      <c r="M14" s="500"/>
      <c r="N14" s="500"/>
      <c r="O14" s="314"/>
      <c r="P14" s="315"/>
      <c r="Q14" s="315"/>
      <c r="R14" s="315"/>
      <c r="S14" s="315"/>
      <c r="T14" s="315"/>
    </row>
    <row r="15" spans="1:20" ht="108" x14ac:dyDescent="0.25">
      <c r="A15" s="52" t="str">
        <f>IF(COUNTBLANK(B15)=1," ",COUNTA($B$12:B15))</f>
        <v xml:space="preserve"> </v>
      </c>
      <c r="B15" s="596"/>
      <c r="C15" s="801" t="s">
        <v>231</v>
      </c>
      <c r="D15" s="223" t="s">
        <v>189</v>
      </c>
      <c r="E15" s="57" t="str">
        <f>apjom!F3</f>
        <v>L</v>
      </c>
      <c r="F15" s="57" t="str">
        <f>apjom!G3</f>
        <v>h</v>
      </c>
      <c r="G15" s="57" t="s">
        <v>17</v>
      </c>
      <c r="H15" s="85"/>
      <c r="I15" s="34"/>
      <c r="J15" s="34"/>
      <c r="K15" s="271"/>
      <c r="L15" s="34"/>
      <c r="M15" s="55"/>
      <c r="N15" s="34"/>
      <c r="O15" s="314"/>
      <c r="P15" s="315"/>
      <c r="Q15" s="315"/>
      <c r="R15" s="315"/>
      <c r="S15" s="315"/>
      <c r="T15" s="315"/>
    </row>
    <row r="16" spans="1:20" ht="12" x14ac:dyDescent="0.25">
      <c r="A16" s="52"/>
      <c r="B16" s="596"/>
      <c r="C16" s="802" t="s">
        <v>769</v>
      </c>
      <c r="D16" s="223"/>
      <c r="E16" s="57"/>
      <c r="F16" s="57"/>
      <c r="G16" s="57"/>
      <c r="H16" s="85"/>
      <c r="I16" s="227"/>
      <c r="J16" s="227"/>
      <c r="K16" s="393"/>
      <c r="L16" s="227"/>
      <c r="M16" s="696"/>
      <c r="N16" s="227"/>
      <c r="O16" s="314"/>
      <c r="P16" s="315"/>
      <c r="Q16" s="315"/>
      <c r="R16" s="315"/>
      <c r="S16" s="315"/>
      <c r="T16" s="315"/>
    </row>
    <row r="17" spans="1:20" x14ac:dyDescent="0.25">
      <c r="A17" s="52">
        <f>IF(COUNTBLANK(B17)=1," ",COUNTA($B$12:B17))</f>
        <v>4</v>
      </c>
      <c r="B17" s="13" t="s">
        <v>14</v>
      </c>
      <c r="C17" s="597" t="str">
        <f>apjom!B5</f>
        <v>L1</v>
      </c>
      <c r="D17" s="57">
        <f>apjom!D5</f>
        <v>0</v>
      </c>
      <c r="E17" s="57">
        <f>apjom!F5</f>
        <v>1.2</v>
      </c>
      <c r="F17" s="57">
        <f>apjom!G5</f>
        <v>1.5</v>
      </c>
      <c r="G17" s="57" t="str">
        <f>G15</f>
        <v>m²</v>
      </c>
      <c r="H17" s="34">
        <f>F17*E17*D17</f>
        <v>0</v>
      </c>
      <c r="J17" s="499"/>
      <c r="K17" s="499"/>
      <c r="L17" s="499"/>
      <c r="M17" s="501"/>
      <c r="N17" s="499"/>
      <c r="O17" s="314"/>
      <c r="P17" s="315"/>
      <c r="Q17" s="315"/>
      <c r="R17" s="315"/>
      <c r="S17" s="315"/>
      <c r="T17" s="315"/>
    </row>
    <row r="18" spans="1:20" x14ac:dyDescent="0.25">
      <c r="A18" s="52">
        <f>IF(COUNTBLANK(B18)=1," ",COUNTA($B$12:B18))</f>
        <v>5</v>
      </c>
      <c r="B18" s="13" t="s">
        <v>14</v>
      </c>
      <c r="C18" s="222" t="str">
        <f>apjom!B6</f>
        <v>L2</v>
      </c>
      <c r="D18" s="57">
        <f>apjom!D6</f>
        <v>27</v>
      </c>
      <c r="E18" s="57">
        <f>apjom!F6</f>
        <v>1.2</v>
      </c>
      <c r="F18" s="57">
        <f>apjom!G6</f>
        <v>1.5</v>
      </c>
      <c r="G18" s="57" t="str">
        <f t="shared" ref="G18:G33" si="1">G17</f>
        <v>m²</v>
      </c>
      <c r="H18" s="34">
        <f>F18*E18*D18</f>
        <v>48.599999999999994</v>
      </c>
      <c r="J18" s="499"/>
      <c r="K18" s="499"/>
      <c r="L18" s="499"/>
      <c r="M18" s="501"/>
      <c r="N18" s="499"/>
      <c r="O18" s="314"/>
      <c r="P18" s="315"/>
      <c r="Q18" s="315"/>
      <c r="R18" s="315"/>
      <c r="S18" s="315"/>
      <c r="T18" s="315"/>
    </row>
    <row r="19" spans="1:20" x14ac:dyDescent="0.25">
      <c r="A19" s="52">
        <f>IF(COUNTBLANK(B19)=1," ",COUNTA($B$12:B19))</f>
        <v>6</v>
      </c>
      <c r="B19" s="13" t="s">
        <v>14</v>
      </c>
      <c r="C19" s="222" t="str">
        <f>apjom!B7</f>
        <v>L3</v>
      </c>
      <c r="D19" s="57">
        <f>apjom!D7</f>
        <v>0</v>
      </c>
      <c r="E19" s="57">
        <f>apjom!F7</f>
        <v>1</v>
      </c>
      <c r="F19" s="57">
        <f>apjom!G7</f>
        <v>1.5</v>
      </c>
      <c r="G19" s="57" t="str">
        <f t="shared" si="1"/>
        <v>m²</v>
      </c>
      <c r="H19" s="34">
        <f t="shared" ref="H19:H33" si="2">F19*E19*D19</f>
        <v>0</v>
      </c>
      <c r="J19" s="499"/>
      <c r="K19" s="499"/>
      <c r="L19" s="499"/>
      <c r="M19" s="501"/>
      <c r="N19" s="499"/>
      <c r="O19" s="314"/>
      <c r="P19" s="315"/>
      <c r="Q19" s="315"/>
      <c r="R19" s="315"/>
      <c r="S19" s="315"/>
      <c r="T19" s="315"/>
    </row>
    <row r="20" spans="1:20" x14ac:dyDescent="0.25">
      <c r="A20" s="52">
        <f>IF(COUNTBLANK(B20)=1," ",COUNTA($B$12:B20))</f>
        <v>7</v>
      </c>
      <c r="B20" s="13" t="s">
        <v>14</v>
      </c>
      <c r="C20" s="222" t="str">
        <f>apjom!B8</f>
        <v>L4</v>
      </c>
      <c r="D20" s="57">
        <f>apjom!D8</f>
        <v>17</v>
      </c>
      <c r="E20" s="57">
        <f>apjom!F8</f>
        <v>1</v>
      </c>
      <c r="F20" s="57">
        <f>apjom!G8</f>
        <v>1.5</v>
      </c>
      <c r="G20" s="57" t="str">
        <f t="shared" si="1"/>
        <v>m²</v>
      </c>
      <c r="H20" s="34">
        <f>F20*E20*D20</f>
        <v>25.5</v>
      </c>
      <c r="J20" s="499"/>
      <c r="K20" s="499"/>
      <c r="L20" s="499"/>
      <c r="M20" s="501"/>
      <c r="N20" s="499"/>
      <c r="O20" s="314"/>
      <c r="P20" s="315"/>
      <c r="Q20" s="315"/>
      <c r="R20" s="315"/>
      <c r="S20" s="315"/>
      <c r="T20" s="315"/>
    </row>
    <row r="21" spans="1:20" x14ac:dyDescent="0.25">
      <c r="A21" s="52">
        <f>IF(COUNTBLANK(B21)=1," ",COUNTA($B$12:B21))</f>
        <v>8</v>
      </c>
      <c r="B21" s="13" t="s">
        <v>14</v>
      </c>
      <c r="C21" s="222" t="str">
        <f>apjom!B9</f>
        <v>L5</v>
      </c>
      <c r="D21" s="57">
        <f>apjom!D9</f>
        <v>0</v>
      </c>
      <c r="E21" s="57">
        <f>apjom!F9</f>
        <v>1.7</v>
      </c>
      <c r="F21" s="57">
        <f>apjom!G9</f>
        <v>1.5</v>
      </c>
      <c r="G21" s="57" t="str">
        <f t="shared" si="1"/>
        <v>m²</v>
      </c>
      <c r="H21" s="34">
        <f t="shared" si="2"/>
        <v>0</v>
      </c>
      <c r="J21" s="499"/>
      <c r="K21" s="499"/>
      <c r="L21" s="499"/>
      <c r="M21" s="501"/>
      <c r="N21" s="499"/>
      <c r="O21" s="314"/>
      <c r="P21" s="315"/>
      <c r="Q21" s="315"/>
      <c r="R21" s="315"/>
      <c r="S21" s="315"/>
      <c r="T21" s="315"/>
    </row>
    <row r="22" spans="1:20" x14ac:dyDescent="0.25">
      <c r="A22" s="52">
        <f>IF(COUNTBLANK(B22)=1," ",COUNTA($B$12:B22))</f>
        <v>9</v>
      </c>
      <c r="B22" s="13" t="s">
        <v>14</v>
      </c>
      <c r="C22" s="222" t="str">
        <f>apjom!B10</f>
        <v>L6</v>
      </c>
      <c r="D22" s="57">
        <f>apjom!D10</f>
        <v>3</v>
      </c>
      <c r="E22" s="57">
        <f>apjom!F10</f>
        <v>1.7</v>
      </c>
      <c r="F22" s="57">
        <f>apjom!G10</f>
        <v>1.5</v>
      </c>
      <c r="G22" s="57" t="str">
        <f t="shared" si="1"/>
        <v>m²</v>
      </c>
      <c r="H22" s="34">
        <f t="shared" si="2"/>
        <v>7.6499999999999995</v>
      </c>
      <c r="J22" s="499"/>
      <c r="K22" s="499"/>
      <c r="L22" s="499"/>
      <c r="M22" s="501"/>
      <c r="N22" s="499"/>
      <c r="O22" s="314"/>
      <c r="P22" s="315"/>
      <c r="Q22" s="315"/>
      <c r="R22" s="315"/>
      <c r="S22" s="315"/>
      <c r="T22" s="315"/>
    </row>
    <row r="23" spans="1:20" x14ac:dyDescent="0.25">
      <c r="A23" s="52">
        <f>IF(COUNTBLANK(B23)=1," ",COUNTA($B$12:B23))</f>
        <v>10</v>
      </c>
      <c r="B23" s="13" t="s">
        <v>14</v>
      </c>
      <c r="C23" s="222" t="str">
        <f>apjom!B11</f>
        <v>L7</v>
      </c>
      <c r="D23" s="57">
        <f>apjom!D11</f>
        <v>0</v>
      </c>
      <c r="E23" s="57">
        <f>apjom!F11</f>
        <v>1.8</v>
      </c>
      <c r="F23" s="57">
        <f>apjom!G11</f>
        <v>1.5</v>
      </c>
      <c r="G23" s="57" t="str">
        <f t="shared" si="1"/>
        <v>m²</v>
      </c>
      <c r="H23" s="34">
        <f t="shared" si="2"/>
        <v>0</v>
      </c>
      <c r="J23" s="499"/>
      <c r="K23" s="499"/>
      <c r="L23" s="499"/>
      <c r="M23" s="501"/>
      <c r="N23" s="499"/>
      <c r="O23" s="314"/>
      <c r="P23" s="315"/>
      <c r="Q23" s="315"/>
      <c r="R23" s="315"/>
      <c r="S23" s="315"/>
      <c r="T23" s="315"/>
    </row>
    <row r="24" spans="1:20" x14ac:dyDescent="0.25">
      <c r="A24" s="52">
        <f>IF(COUNTBLANK(B24)=1," ",COUNTA($B$12:B24))</f>
        <v>11</v>
      </c>
      <c r="B24" s="13" t="s">
        <v>14</v>
      </c>
      <c r="C24" s="222" t="str">
        <f>apjom!B12</f>
        <v>L8</v>
      </c>
      <c r="D24" s="57">
        <f>apjom!D12</f>
        <v>10</v>
      </c>
      <c r="E24" s="57">
        <f>apjom!F12</f>
        <v>1.8</v>
      </c>
      <c r="F24" s="57">
        <f>apjom!G12</f>
        <v>1.5</v>
      </c>
      <c r="G24" s="57" t="str">
        <f t="shared" si="1"/>
        <v>m²</v>
      </c>
      <c r="H24" s="34">
        <f t="shared" si="2"/>
        <v>27</v>
      </c>
      <c r="J24" s="499"/>
      <c r="K24" s="499"/>
      <c r="L24" s="499"/>
      <c r="M24" s="501"/>
      <c r="N24" s="499"/>
      <c r="O24" s="314"/>
      <c r="P24" s="315"/>
      <c r="Q24" s="315"/>
      <c r="R24" s="315"/>
      <c r="S24" s="315"/>
      <c r="T24" s="315"/>
    </row>
    <row r="25" spans="1:20" x14ac:dyDescent="0.25">
      <c r="A25" s="52">
        <f>IF(COUNTBLANK(B25)=1," ",COUNTA($B$12:B25))</f>
        <v>12</v>
      </c>
      <c r="B25" s="13" t="s">
        <v>14</v>
      </c>
      <c r="C25" s="222" t="str">
        <f>apjom!B13</f>
        <v>L9</v>
      </c>
      <c r="D25" s="57">
        <f>apjom!D13</f>
        <v>0</v>
      </c>
      <c r="E25" s="57">
        <f>apjom!F13</f>
        <v>2.5</v>
      </c>
      <c r="F25" s="57">
        <f>apjom!G13</f>
        <v>1.5</v>
      </c>
      <c r="G25" s="57" t="str">
        <f t="shared" si="1"/>
        <v>m²</v>
      </c>
      <c r="H25" s="34">
        <f t="shared" si="2"/>
        <v>0</v>
      </c>
      <c r="J25" s="499"/>
      <c r="K25" s="499"/>
      <c r="L25" s="499"/>
      <c r="M25" s="501"/>
      <c r="N25" s="499"/>
      <c r="O25" s="314"/>
      <c r="P25" s="315"/>
      <c r="Q25" s="315"/>
      <c r="R25" s="315"/>
      <c r="S25" s="315"/>
      <c r="T25" s="315"/>
    </row>
    <row r="26" spans="1:20" x14ac:dyDescent="0.25">
      <c r="A26" s="52">
        <f>IF(COUNTBLANK(B26)=1," ",COUNTA($B$12:B26))</f>
        <v>13</v>
      </c>
      <c r="B26" s="13" t="s">
        <v>14</v>
      </c>
      <c r="C26" s="222">
        <f>apjom!B14</f>
        <v>0</v>
      </c>
      <c r="D26" s="57">
        <f>apjom!D14</f>
        <v>0</v>
      </c>
      <c r="E26" s="57">
        <f>apjom!F14</f>
        <v>0</v>
      </c>
      <c r="F26" s="57">
        <f>apjom!G14</f>
        <v>0</v>
      </c>
      <c r="G26" s="57" t="str">
        <f t="shared" si="1"/>
        <v>m²</v>
      </c>
      <c r="H26" s="34">
        <f t="shared" si="2"/>
        <v>0</v>
      </c>
      <c r="J26" s="499"/>
      <c r="K26" s="499"/>
      <c r="L26" s="499"/>
      <c r="M26" s="501"/>
      <c r="N26" s="499"/>
      <c r="O26" s="314"/>
      <c r="P26" s="315"/>
      <c r="Q26" s="315"/>
      <c r="R26" s="315"/>
      <c r="S26" s="315"/>
      <c r="T26" s="315"/>
    </row>
    <row r="27" spans="1:20" x14ac:dyDescent="0.25">
      <c r="A27" s="52">
        <f>IF(COUNTBLANK(B27)=1," ",COUNTA($B$12:B27))</f>
        <v>14</v>
      </c>
      <c r="B27" s="13" t="s">
        <v>14</v>
      </c>
      <c r="C27" s="222" t="str">
        <f>apjom!B15</f>
        <v>L11</v>
      </c>
      <c r="D27" s="57">
        <f>apjom!D15</f>
        <v>0</v>
      </c>
      <c r="E27" s="57">
        <f>apjom!F15</f>
        <v>1.7</v>
      </c>
      <c r="F27" s="57">
        <f>apjom!G15</f>
        <v>0.56999999999999995</v>
      </c>
      <c r="G27" s="57" t="str">
        <f t="shared" si="1"/>
        <v>m²</v>
      </c>
      <c r="H27" s="34">
        <f t="shared" si="2"/>
        <v>0</v>
      </c>
      <c r="J27" s="499"/>
      <c r="K27" s="499"/>
      <c r="L27" s="499"/>
      <c r="M27" s="501"/>
      <c r="N27" s="499"/>
      <c r="O27" s="314"/>
      <c r="P27" s="315"/>
      <c r="Q27" s="315"/>
      <c r="R27" s="315"/>
      <c r="S27" s="315"/>
      <c r="T27" s="315"/>
    </row>
    <row r="28" spans="1:20" x14ac:dyDescent="0.25">
      <c r="A28" s="52">
        <f>IF(COUNTBLANK(B28)=1," ",COUNTA($B$12:B28))</f>
        <v>15</v>
      </c>
      <c r="B28" s="13" t="s">
        <v>14</v>
      </c>
      <c r="C28" s="222" t="str">
        <f>apjom!B16</f>
        <v>L12</v>
      </c>
      <c r="D28" s="57">
        <f>apjom!D16</f>
        <v>0</v>
      </c>
      <c r="E28" s="57">
        <f>apjom!F16</f>
        <v>2.1</v>
      </c>
      <c r="F28" s="57">
        <f>apjom!G16</f>
        <v>0.8</v>
      </c>
      <c r="G28" s="57" t="str">
        <f t="shared" si="1"/>
        <v>m²</v>
      </c>
      <c r="H28" s="34">
        <f t="shared" si="2"/>
        <v>0</v>
      </c>
      <c r="J28" s="499"/>
      <c r="K28" s="499"/>
      <c r="L28" s="499"/>
      <c r="M28" s="501"/>
      <c r="N28" s="499"/>
      <c r="O28" s="314"/>
      <c r="P28" s="315"/>
      <c r="Q28" s="315"/>
      <c r="R28" s="315"/>
      <c r="S28" s="315"/>
      <c r="T28" s="315"/>
    </row>
    <row r="29" spans="1:20" x14ac:dyDescent="0.25">
      <c r="A29" s="52">
        <f>IF(COUNTBLANK(B29)=1," ",COUNTA($B$12:B29))</f>
        <v>16</v>
      </c>
      <c r="B29" s="13" t="s">
        <v>14</v>
      </c>
      <c r="C29" s="222" t="str">
        <f>apjom!B17</f>
        <v>LODŽIJAS</v>
      </c>
      <c r="D29" s="57"/>
      <c r="E29" s="57"/>
      <c r="F29" s="57"/>
      <c r="G29" s="57"/>
      <c r="H29" s="86"/>
      <c r="I29" s="497"/>
      <c r="J29" s="34"/>
      <c r="K29" s="271"/>
      <c r="L29" s="34"/>
      <c r="M29" s="55"/>
      <c r="N29" s="34"/>
      <c r="O29" s="314"/>
      <c r="P29" s="315"/>
      <c r="Q29" s="315"/>
      <c r="R29" s="315"/>
      <c r="S29" s="315"/>
      <c r="T29" s="315"/>
    </row>
    <row r="30" spans="1:20" x14ac:dyDescent="0.25">
      <c r="A30" s="52">
        <f>IF(COUNTBLANK(B30)=1," ",COUNTA($B$12:B30))</f>
        <v>17</v>
      </c>
      <c r="B30" s="13" t="s">
        <v>14</v>
      </c>
      <c r="C30" s="222" t="str">
        <f>apjom!B18</f>
        <v>L14</v>
      </c>
      <c r="D30" s="57">
        <f>apjom!D18</f>
        <v>16</v>
      </c>
      <c r="E30" s="57">
        <f>apjom!F18</f>
        <v>3.04</v>
      </c>
      <c r="F30" s="57">
        <f>apjom!G18</f>
        <v>1.45</v>
      </c>
      <c r="G30" s="57" t="str">
        <f>G28</f>
        <v>m²</v>
      </c>
      <c r="H30" s="86">
        <f t="shared" si="2"/>
        <v>70.527999999999992</v>
      </c>
      <c r="I30" s="497"/>
      <c r="J30" s="499"/>
      <c r="K30" s="499"/>
      <c r="L30" s="499"/>
      <c r="M30" s="501"/>
      <c r="N30" s="499"/>
      <c r="O30" s="314"/>
      <c r="P30" s="315"/>
      <c r="Q30" s="315"/>
      <c r="R30" s="315"/>
      <c r="S30" s="315"/>
      <c r="T30" s="315"/>
    </row>
    <row r="31" spans="1:20" x14ac:dyDescent="0.25">
      <c r="A31" s="52">
        <f>IF(COUNTBLANK(B31)=1," ",COUNTA($B$12:B31))</f>
        <v>18</v>
      </c>
      <c r="B31" s="13" t="s">
        <v>14</v>
      </c>
      <c r="C31" s="222" t="str">
        <f>apjom!B19</f>
        <v>esošās demotējamas un atliekamas L15</v>
      </c>
      <c r="D31" s="57">
        <f>apjom!C19</f>
        <v>6</v>
      </c>
      <c r="E31" s="57">
        <f>apjom!F19</f>
        <v>3.04</v>
      </c>
      <c r="F31" s="57">
        <f>apjom!G19</f>
        <v>1.45</v>
      </c>
      <c r="G31" s="57" t="str">
        <f t="shared" si="1"/>
        <v>m²</v>
      </c>
      <c r="H31" s="86">
        <f t="shared" si="2"/>
        <v>26.447999999999997</v>
      </c>
      <c r="I31" s="497"/>
      <c r="J31" s="499"/>
      <c r="K31" s="499"/>
      <c r="L31" s="499"/>
      <c r="M31" s="501"/>
      <c r="N31" s="499"/>
      <c r="O31" s="314"/>
      <c r="P31" s="315"/>
      <c r="Q31" s="315"/>
      <c r="R31" s="315"/>
      <c r="S31" s="315"/>
      <c r="T31" s="315"/>
    </row>
    <row r="32" spans="1:20" x14ac:dyDescent="0.25">
      <c r="A32" s="52">
        <f>IF(COUNTBLANK(B32)=1," ",COUNTA($B$12:B32))</f>
        <v>19</v>
      </c>
      <c r="B32" s="13" t="s">
        <v>14</v>
      </c>
      <c r="C32" s="222" t="str">
        <f>apjom!B20</f>
        <v>L16</v>
      </c>
      <c r="D32" s="57">
        <f>apjom!D20</f>
        <v>46</v>
      </c>
      <c r="E32" s="57">
        <f>apjom!F20</f>
        <v>6.24</v>
      </c>
      <c r="F32" s="57">
        <f>apjom!G20</f>
        <v>1.45</v>
      </c>
      <c r="G32" s="57" t="str">
        <f t="shared" si="1"/>
        <v>m²</v>
      </c>
      <c r="H32" s="86">
        <f t="shared" si="2"/>
        <v>416.20800000000003</v>
      </c>
      <c r="I32" s="497"/>
      <c r="J32" s="499"/>
      <c r="K32" s="499"/>
      <c r="L32" s="499"/>
      <c r="M32" s="501"/>
      <c r="N32" s="499"/>
      <c r="O32" s="314"/>
      <c r="P32" s="315"/>
      <c r="Q32" s="315"/>
      <c r="R32" s="315"/>
      <c r="S32" s="315"/>
      <c r="T32" s="315"/>
    </row>
    <row r="33" spans="1:196" x14ac:dyDescent="0.25">
      <c r="A33" s="52">
        <f>IF(COUNTBLANK(B33)=1," ",COUNTA($B$12:B33))</f>
        <v>20</v>
      </c>
      <c r="B33" s="13" t="s">
        <v>14</v>
      </c>
      <c r="C33" s="222" t="str">
        <f>apjom!B21</f>
        <v>esošās demotējamas un atliekamas L17</v>
      </c>
      <c r="D33" s="57">
        <f>apjom!C21</f>
        <v>21</v>
      </c>
      <c r="E33" s="57">
        <f>apjom!F21</f>
        <v>6.24</v>
      </c>
      <c r="F33" s="57">
        <f>apjom!G21</f>
        <v>1.45</v>
      </c>
      <c r="G33" s="57" t="str">
        <f t="shared" si="1"/>
        <v>m²</v>
      </c>
      <c r="H33" s="86">
        <f t="shared" si="2"/>
        <v>190.00800000000001</v>
      </c>
      <c r="I33" s="497"/>
      <c r="J33" s="499"/>
      <c r="K33" s="499"/>
      <c r="L33" s="499"/>
      <c r="M33" s="501"/>
      <c r="N33" s="499"/>
      <c r="O33" s="314"/>
      <c r="P33" s="315"/>
      <c r="Q33" s="315"/>
      <c r="R33" s="315"/>
      <c r="S33" s="315"/>
      <c r="T33" s="315"/>
    </row>
    <row r="34" spans="1:196" ht="22.5" x14ac:dyDescent="0.25">
      <c r="A34" s="52">
        <f>IF(COUNTBLANK(B34)=1," ",COUNTA($B$12:B34))</f>
        <v>21</v>
      </c>
      <c r="B34" s="13" t="s">
        <v>14</v>
      </c>
      <c r="C34" s="222" t="s">
        <v>807</v>
      </c>
      <c r="D34" s="57"/>
      <c r="E34" s="57"/>
      <c r="F34" s="57"/>
      <c r="G34" s="57" t="s">
        <v>16</v>
      </c>
      <c r="H34" s="86">
        <f>apjom!G18*2*apjom!E22</f>
        <v>258.09999999999997</v>
      </c>
      <c r="I34" s="497"/>
      <c r="J34" s="499"/>
      <c r="K34" s="499"/>
      <c r="L34" s="499"/>
      <c r="M34" s="501"/>
      <c r="N34" s="499"/>
      <c r="O34" s="314"/>
      <c r="P34" s="315"/>
      <c r="Q34" s="315"/>
      <c r="R34" s="315"/>
      <c r="S34" s="315"/>
      <c r="T34" s="315"/>
    </row>
    <row r="35" spans="1:196" x14ac:dyDescent="0.25">
      <c r="A35" s="52"/>
      <c r="B35" s="588"/>
      <c r="C35" s="798" t="s">
        <v>806</v>
      </c>
      <c r="D35" s="799"/>
      <c r="E35" s="799"/>
      <c r="F35" s="799"/>
      <c r="G35" s="590" t="s">
        <v>32</v>
      </c>
      <c r="H35" s="800">
        <f>H34*5</f>
        <v>1290.4999999999998</v>
      </c>
      <c r="I35" s="497"/>
      <c r="J35" s="499"/>
      <c r="K35" s="499"/>
      <c r="L35" s="499"/>
      <c r="M35" s="501"/>
      <c r="N35" s="499"/>
      <c r="O35" s="314"/>
      <c r="P35" s="315"/>
      <c r="Q35" s="315"/>
      <c r="R35" s="315"/>
      <c r="S35" s="315"/>
      <c r="T35" s="315"/>
    </row>
    <row r="36" spans="1:196" ht="15" x14ac:dyDescent="0.25">
      <c r="A36" s="52">
        <f>IF(COUNTBLANK(B36)=1," ",COUNTA($B$12:B36))</f>
        <v>22</v>
      </c>
      <c r="B36" s="280" t="s">
        <v>14</v>
      </c>
      <c r="C36" s="281" t="s">
        <v>212</v>
      </c>
      <c r="D36" s="281"/>
      <c r="E36" s="281"/>
      <c r="F36" s="281"/>
      <c r="G36" s="282" t="s">
        <v>17</v>
      </c>
      <c r="H36" s="273">
        <f>SUM(H17:H33)</f>
        <v>811.94200000000001</v>
      </c>
      <c r="I36" s="273"/>
      <c r="J36" s="499"/>
      <c r="K36" s="499"/>
      <c r="L36" s="499"/>
      <c r="M36" s="501"/>
      <c r="N36" s="499"/>
      <c r="O36" s="314"/>
      <c r="P36" s="315"/>
      <c r="Q36" s="315"/>
      <c r="R36" s="315"/>
      <c r="S36" s="315"/>
      <c r="T36" s="315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K36" s="262"/>
      <c r="BL36" s="262"/>
      <c r="BM36" s="262"/>
      <c r="BN36" s="262"/>
      <c r="BO36" s="262"/>
      <c r="BP36" s="262"/>
      <c r="BQ36" s="262"/>
      <c r="BR36" s="262"/>
      <c r="BS36" s="262"/>
      <c r="BT36" s="262"/>
      <c r="BU36" s="262"/>
      <c r="BV36" s="262"/>
      <c r="BW36" s="262"/>
      <c r="BX36" s="262"/>
      <c r="BY36" s="262"/>
      <c r="BZ36" s="262"/>
      <c r="CA36" s="262"/>
      <c r="CB36" s="262"/>
      <c r="CC36" s="262"/>
      <c r="CD36" s="262"/>
      <c r="CE36" s="262"/>
      <c r="CF36" s="262"/>
      <c r="CG36" s="262"/>
      <c r="CH36" s="262"/>
      <c r="CI36" s="262"/>
      <c r="CJ36" s="262"/>
      <c r="CK36" s="262"/>
      <c r="CL36" s="262"/>
      <c r="CM36" s="262"/>
      <c r="CN36" s="262"/>
      <c r="CO36" s="262"/>
      <c r="CP36" s="262"/>
      <c r="CQ36" s="262"/>
      <c r="CR36" s="262"/>
      <c r="CS36" s="262"/>
      <c r="CT36" s="262"/>
      <c r="CU36" s="262"/>
      <c r="CV36" s="262"/>
      <c r="CW36" s="262"/>
      <c r="CX36" s="262"/>
      <c r="CY36" s="262"/>
      <c r="CZ36" s="262"/>
      <c r="DA36" s="262"/>
      <c r="DB36" s="262"/>
      <c r="DC36" s="262"/>
      <c r="DD36" s="262"/>
      <c r="DE36" s="262"/>
      <c r="DF36" s="262"/>
      <c r="DG36" s="262"/>
      <c r="DH36" s="262"/>
      <c r="DI36" s="262"/>
      <c r="DJ36" s="262"/>
      <c r="DK36" s="262"/>
      <c r="DL36" s="262"/>
      <c r="DM36" s="262"/>
      <c r="DN36" s="262"/>
      <c r="DO36" s="262"/>
      <c r="DP36" s="262"/>
      <c r="DQ36" s="262"/>
      <c r="DR36" s="262"/>
      <c r="DS36" s="262"/>
      <c r="DT36" s="262"/>
      <c r="DU36" s="262"/>
      <c r="DV36" s="262"/>
      <c r="DW36" s="262"/>
      <c r="DX36" s="262"/>
      <c r="DY36" s="262"/>
      <c r="DZ36" s="262"/>
      <c r="EA36" s="262"/>
      <c r="EB36" s="262"/>
      <c r="EC36" s="262"/>
      <c r="ED36" s="262"/>
      <c r="EE36" s="262"/>
      <c r="EF36" s="262"/>
      <c r="EG36" s="262"/>
      <c r="EH36" s="262"/>
      <c r="EI36" s="262"/>
      <c r="EJ36" s="262"/>
      <c r="EK36" s="262"/>
      <c r="EL36" s="262"/>
      <c r="EM36" s="262"/>
      <c r="EN36" s="262"/>
      <c r="EO36" s="262"/>
      <c r="EP36" s="262"/>
      <c r="EQ36" s="262"/>
      <c r="ER36" s="262"/>
      <c r="ES36" s="262"/>
      <c r="ET36" s="262"/>
      <c r="EU36" s="262"/>
      <c r="EV36" s="262"/>
      <c r="EW36" s="262"/>
      <c r="EX36" s="262"/>
      <c r="EY36" s="262"/>
      <c r="EZ36" s="262"/>
      <c r="FA36" s="262"/>
      <c r="FB36" s="262"/>
      <c r="FC36" s="262"/>
      <c r="FD36" s="262"/>
      <c r="FE36" s="262"/>
      <c r="FF36" s="262"/>
      <c r="FG36" s="262"/>
      <c r="FH36" s="262"/>
      <c r="FI36" s="262"/>
      <c r="FJ36" s="262"/>
      <c r="FK36" s="262"/>
      <c r="FL36" s="262"/>
      <c r="FM36" s="262"/>
      <c r="FN36" s="262"/>
      <c r="FO36" s="262"/>
      <c r="FP36" s="262"/>
      <c r="FQ36" s="262"/>
      <c r="FR36" s="262"/>
      <c r="FS36" s="262"/>
      <c r="FT36" s="262"/>
      <c r="FU36" s="262"/>
      <c r="FV36" s="262"/>
      <c r="FW36" s="262"/>
      <c r="FX36" s="262"/>
      <c r="FY36" s="262"/>
      <c r="FZ36" s="262"/>
      <c r="GA36" s="262"/>
      <c r="GB36" s="262"/>
      <c r="GC36" s="262"/>
      <c r="GD36" s="262"/>
      <c r="GE36" s="262"/>
      <c r="GF36" s="262"/>
      <c r="GG36" s="262"/>
      <c r="GH36" s="262"/>
      <c r="GI36" s="262"/>
      <c r="GJ36" s="262"/>
      <c r="GK36" s="262"/>
      <c r="GL36" s="262"/>
      <c r="GM36" s="262"/>
      <c r="GN36" s="262"/>
    </row>
    <row r="37" spans="1:196" ht="15" x14ac:dyDescent="0.25">
      <c r="A37" s="52" t="str">
        <f>IF(COUNTBLANK(B37)=1," ",COUNTA($B$12:B37))</f>
        <v xml:space="preserve"> </v>
      </c>
      <c r="B37" s="264"/>
      <c r="C37" s="283" t="s">
        <v>18</v>
      </c>
      <c r="D37" s="284"/>
      <c r="E37" s="284"/>
      <c r="F37" s="284"/>
      <c r="G37" s="282" t="s">
        <v>32</v>
      </c>
      <c r="H37" s="273">
        <f>ROUNDUP(H36*I37,0)</f>
        <v>2112</v>
      </c>
      <c r="I37" s="273">
        <v>2.6</v>
      </c>
      <c r="J37" s="499"/>
      <c r="K37" s="499"/>
      <c r="L37" s="499"/>
      <c r="M37" s="499"/>
      <c r="N37" s="499"/>
      <c r="O37" s="314"/>
      <c r="P37" s="315"/>
      <c r="Q37" s="315"/>
      <c r="R37" s="315"/>
      <c r="S37" s="315"/>
      <c r="T37" s="315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262"/>
      <c r="BJ37" s="262"/>
      <c r="BK37" s="262"/>
      <c r="BL37" s="262"/>
      <c r="BM37" s="262"/>
      <c r="BN37" s="262"/>
      <c r="BO37" s="262"/>
      <c r="BP37" s="262"/>
      <c r="BQ37" s="262"/>
      <c r="BR37" s="262"/>
      <c r="BS37" s="262"/>
      <c r="BT37" s="262"/>
      <c r="BU37" s="262"/>
      <c r="BV37" s="262"/>
      <c r="BW37" s="262"/>
      <c r="BX37" s="262"/>
      <c r="BY37" s="262"/>
      <c r="BZ37" s="262"/>
      <c r="CA37" s="262"/>
      <c r="CB37" s="262"/>
      <c r="CC37" s="262"/>
      <c r="CD37" s="262"/>
      <c r="CE37" s="262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62"/>
      <c r="CQ37" s="262"/>
      <c r="CR37" s="262"/>
      <c r="CS37" s="262"/>
      <c r="CT37" s="262"/>
      <c r="CU37" s="262"/>
      <c r="CV37" s="262"/>
      <c r="CW37" s="262"/>
      <c r="CX37" s="262"/>
      <c r="CY37" s="262"/>
      <c r="CZ37" s="262"/>
      <c r="DA37" s="262"/>
      <c r="DB37" s="262"/>
      <c r="DC37" s="262"/>
      <c r="DD37" s="262"/>
      <c r="DE37" s="262"/>
      <c r="DF37" s="262"/>
      <c r="DG37" s="262"/>
      <c r="DH37" s="262"/>
      <c r="DI37" s="262"/>
      <c r="DJ37" s="262"/>
      <c r="DK37" s="262"/>
      <c r="DL37" s="262"/>
      <c r="DM37" s="262"/>
      <c r="DN37" s="262"/>
      <c r="DO37" s="262"/>
      <c r="DP37" s="262"/>
      <c r="DQ37" s="262"/>
      <c r="DR37" s="262"/>
      <c r="DS37" s="262"/>
      <c r="DT37" s="262"/>
      <c r="DU37" s="262"/>
      <c r="DV37" s="262"/>
      <c r="DW37" s="262"/>
      <c r="DX37" s="262"/>
      <c r="DY37" s="262"/>
      <c r="DZ37" s="262"/>
      <c r="EA37" s="262"/>
      <c r="EB37" s="262"/>
      <c r="EC37" s="262"/>
      <c r="ED37" s="262"/>
      <c r="EE37" s="262"/>
      <c r="EF37" s="262"/>
      <c r="EG37" s="262"/>
      <c r="EH37" s="262"/>
      <c r="EI37" s="262"/>
      <c r="EJ37" s="262"/>
      <c r="EK37" s="262"/>
      <c r="EL37" s="262"/>
      <c r="EM37" s="262"/>
      <c r="EN37" s="262"/>
      <c r="EO37" s="262"/>
      <c r="EP37" s="262"/>
      <c r="EQ37" s="262"/>
      <c r="ER37" s="262"/>
      <c r="ES37" s="262"/>
      <c r="ET37" s="262"/>
      <c r="EU37" s="262"/>
      <c r="EV37" s="262"/>
      <c r="EW37" s="262"/>
      <c r="EX37" s="262"/>
      <c r="EY37" s="262"/>
      <c r="EZ37" s="262"/>
      <c r="FA37" s="262"/>
      <c r="FB37" s="262"/>
      <c r="FC37" s="262"/>
      <c r="FD37" s="262"/>
      <c r="FE37" s="262"/>
      <c r="FF37" s="262"/>
      <c r="FG37" s="262"/>
      <c r="FH37" s="262"/>
      <c r="FI37" s="262"/>
      <c r="FJ37" s="262"/>
      <c r="FK37" s="262"/>
      <c r="FL37" s="262"/>
      <c r="FM37" s="262"/>
      <c r="FN37" s="262"/>
      <c r="FO37" s="262"/>
      <c r="FP37" s="262"/>
      <c r="FQ37" s="262"/>
      <c r="FR37" s="262"/>
      <c r="FS37" s="262"/>
      <c r="FT37" s="262"/>
      <c r="FU37" s="262"/>
      <c r="FV37" s="262"/>
      <c r="FW37" s="262"/>
      <c r="FX37" s="262"/>
      <c r="FY37" s="262"/>
      <c r="FZ37" s="262"/>
      <c r="GA37" s="262"/>
      <c r="GB37" s="262"/>
      <c r="GC37" s="262"/>
      <c r="GD37" s="262"/>
      <c r="GE37" s="262"/>
      <c r="GF37" s="262"/>
      <c r="GG37" s="262"/>
      <c r="GH37" s="262"/>
      <c r="GI37" s="262"/>
      <c r="GJ37" s="262"/>
      <c r="GK37" s="262"/>
      <c r="GL37" s="262"/>
      <c r="GM37" s="262"/>
      <c r="GN37" s="262"/>
    </row>
    <row r="38" spans="1:196" ht="15" x14ac:dyDescent="0.25">
      <c r="A38" s="52" t="str">
        <f>IF(COUNTBLANK(B38)=1," ",COUNTA($B$12:B38))</f>
        <v xml:space="preserve"> </v>
      </c>
      <c r="B38" s="264"/>
      <c r="C38" s="285" t="s">
        <v>19</v>
      </c>
      <c r="D38" s="285"/>
      <c r="E38" s="285"/>
      <c r="F38" s="285"/>
      <c r="G38" s="282" t="s">
        <v>32</v>
      </c>
      <c r="H38" s="274">
        <f>ROUNDUP(H36*I38,0)</f>
        <v>1624</v>
      </c>
      <c r="I38" s="274">
        <v>2</v>
      </c>
      <c r="J38" s="499"/>
      <c r="K38" s="499"/>
      <c r="L38" s="499"/>
      <c r="M38" s="499"/>
      <c r="N38" s="499"/>
      <c r="O38" s="314"/>
      <c r="P38" s="315"/>
      <c r="Q38" s="315"/>
      <c r="R38" s="315"/>
      <c r="S38" s="315"/>
      <c r="T38" s="315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2"/>
      <c r="BN38" s="262"/>
      <c r="BO38" s="262"/>
      <c r="BP38" s="262"/>
      <c r="BQ38" s="262"/>
      <c r="BR38" s="262"/>
      <c r="BS38" s="262"/>
      <c r="BT38" s="262"/>
      <c r="BU38" s="262"/>
      <c r="BV38" s="262"/>
      <c r="BW38" s="262"/>
      <c r="BX38" s="262"/>
      <c r="BY38" s="262"/>
      <c r="BZ38" s="262"/>
      <c r="CA38" s="262"/>
      <c r="CB38" s="262"/>
      <c r="CC38" s="262"/>
      <c r="CD38" s="262"/>
      <c r="CE38" s="262"/>
      <c r="CF38" s="262"/>
      <c r="CG38" s="262"/>
      <c r="CH38" s="262"/>
      <c r="CI38" s="262"/>
      <c r="CJ38" s="262"/>
      <c r="CK38" s="262"/>
      <c r="CL38" s="262"/>
      <c r="CM38" s="262"/>
      <c r="CN38" s="262"/>
      <c r="CO38" s="262"/>
      <c r="CP38" s="262"/>
      <c r="CQ38" s="262"/>
      <c r="CR38" s="262"/>
      <c r="CS38" s="262"/>
      <c r="CT38" s="262"/>
      <c r="CU38" s="262"/>
      <c r="CV38" s="262"/>
      <c r="CW38" s="262"/>
      <c r="CX38" s="262"/>
      <c r="CY38" s="262"/>
      <c r="CZ38" s="262"/>
      <c r="DA38" s="262"/>
      <c r="DB38" s="262"/>
      <c r="DC38" s="262"/>
      <c r="DD38" s="262"/>
      <c r="DE38" s="262"/>
      <c r="DF38" s="262"/>
      <c r="DG38" s="262"/>
      <c r="DH38" s="262"/>
      <c r="DI38" s="262"/>
      <c r="DJ38" s="262"/>
      <c r="DK38" s="262"/>
      <c r="DL38" s="262"/>
      <c r="DM38" s="262"/>
      <c r="DN38" s="262"/>
      <c r="DO38" s="262"/>
      <c r="DP38" s="262"/>
      <c r="DQ38" s="262"/>
      <c r="DR38" s="262"/>
      <c r="DS38" s="262"/>
      <c r="DT38" s="262"/>
      <c r="DU38" s="262"/>
      <c r="DV38" s="262"/>
      <c r="DW38" s="262"/>
      <c r="DX38" s="262"/>
      <c r="DY38" s="262"/>
      <c r="DZ38" s="262"/>
      <c r="EA38" s="262"/>
      <c r="EB38" s="262"/>
      <c r="EC38" s="262"/>
      <c r="ED38" s="262"/>
      <c r="EE38" s="262"/>
      <c r="EF38" s="262"/>
      <c r="EG38" s="262"/>
      <c r="EH38" s="262"/>
      <c r="EI38" s="262"/>
      <c r="EJ38" s="262"/>
      <c r="EK38" s="262"/>
      <c r="EL38" s="262"/>
      <c r="EM38" s="262"/>
      <c r="EN38" s="262"/>
      <c r="EO38" s="262"/>
      <c r="EP38" s="262"/>
      <c r="EQ38" s="262"/>
      <c r="ER38" s="262"/>
      <c r="ES38" s="262"/>
      <c r="ET38" s="262"/>
      <c r="EU38" s="262"/>
      <c r="EV38" s="262"/>
      <c r="EW38" s="262"/>
      <c r="EX38" s="262"/>
      <c r="EY38" s="262"/>
      <c r="EZ38" s="262"/>
      <c r="FA38" s="262"/>
      <c r="FB38" s="262"/>
      <c r="FC38" s="262"/>
      <c r="FD38" s="262"/>
      <c r="FE38" s="262"/>
      <c r="FF38" s="262"/>
      <c r="FG38" s="262"/>
      <c r="FH38" s="262"/>
      <c r="FI38" s="262"/>
      <c r="FJ38" s="262"/>
      <c r="FK38" s="262"/>
      <c r="FL38" s="262"/>
      <c r="FM38" s="262"/>
      <c r="FN38" s="262"/>
      <c r="FO38" s="262"/>
      <c r="FP38" s="262"/>
      <c r="FQ38" s="262"/>
      <c r="FR38" s="262"/>
      <c r="FS38" s="262"/>
      <c r="FT38" s="262"/>
      <c r="FU38" s="262"/>
      <c r="FV38" s="262"/>
      <c r="FW38" s="262"/>
      <c r="FX38" s="262"/>
      <c r="FY38" s="262"/>
      <c r="FZ38" s="262"/>
      <c r="GA38" s="262"/>
      <c r="GB38" s="262"/>
      <c r="GC38" s="262"/>
      <c r="GD38" s="262"/>
      <c r="GE38" s="262"/>
      <c r="GF38" s="262"/>
      <c r="GG38" s="262"/>
      <c r="GH38" s="262"/>
      <c r="GI38" s="262"/>
      <c r="GJ38" s="262"/>
      <c r="GK38" s="262"/>
      <c r="GL38" s="262"/>
      <c r="GM38" s="262"/>
      <c r="GN38" s="262"/>
    </row>
    <row r="39" spans="1:196" ht="15" x14ac:dyDescent="0.25">
      <c r="A39" s="52" t="str">
        <f>IF(COUNTBLANK(B39)=1," ",COUNTA($B$12:B39))</f>
        <v xml:space="preserve"> </v>
      </c>
      <c r="B39" s="264"/>
      <c r="C39" s="283" t="s">
        <v>20</v>
      </c>
      <c r="D39" s="283"/>
      <c r="E39" s="283"/>
      <c r="F39" s="283"/>
      <c r="G39" s="264" t="s">
        <v>52</v>
      </c>
      <c r="H39" s="274">
        <f>ROUNDUP(H36*I39,0)</f>
        <v>325</v>
      </c>
      <c r="I39" s="274">
        <v>0.4</v>
      </c>
      <c r="J39" s="499"/>
      <c r="K39" s="499"/>
      <c r="L39" s="499"/>
      <c r="M39" s="499"/>
      <c r="N39" s="499"/>
      <c r="O39" s="314"/>
      <c r="P39" s="315"/>
      <c r="Q39" s="315"/>
      <c r="R39" s="315"/>
      <c r="S39" s="315"/>
      <c r="T39" s="315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262"/>
      <c r="BY39" s="262"/>
      <c r="BZ39" s="262"/>
      <c r="CA39" s="262"/>
      <c r="CB39" s="262"/>
      <c r="CC39" s="262"/>
      <c r="CD39" s="262"/>
      <c r="CE39" s="262"/>
      <c r="CF39" s="262"/>
      <c r="CG39" s="262"/>
      <c r="CH39" s="262"/>
      <c r="CI39" s="262"/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62"/>
      <c r="DE39" s="262"/>
      <c r="DF39" s="262"/>
      <c r="DG39" s="262"/>
      <c r="DH39" s="262"/>
      <c r="DI39" s="262"/>
      <c r="DJ39" s="262"/>
      <c r="DK39" s="262"/>
      <c r="DL39" s="262"/>
      <c r="DM39" s="262"/>
      <c r="DN39" s="262"/>
      <c r="DO39" s="262"/>
      <c r="DP39" s="262"/>
      <c r="DQ39" s="262"/>
      <c r="DR39" s="262"/>
      <c r="DS39" s="262"/>
      <c r="DT39" s="262"/>
      <c r="DU39" s="262"/>
      <c r="DV39" s="262"/>
      <c r="DW39" s="262"/>
      <c r="DX39" s="262"/>
      <c r="DY39" s="262"/>
      <c r="DZ39" s="262"/>
      <c r="EA39" s="262"/>
      <c r="EB39" s="262"/>
      <c r="EC39" s="262"/>
      <c r="ED39" s="262"/>
      <c r="EE39" s="262"/>
      <c r="EF39" s="262"/>
      <c r="EG39" s="262"/>
      <c r="EH39" s="262"/>
      <c r="EI39" s="262"/>
      <c r="EJ39" s="262"/>
      <c r="EK39" s="262"/>
      <c r="EL39" s="262"/>
      <c r="EM39" s="262"/>
      <c r="EN39" s="262"/>
      <c r="EO39" s="262"/>
      <c r="EP39" s="262"/>
      <c r="EQ39" s="262"/>
      <c r="ER39" s="262"/>
      <c r="ES39" s="262"/>
      <c r="ET39" s="262"/>
      <c r="EU39" s="262"/>
      <c r="EV39" s="262"/>
      <c r="EW39" s="262"/>
      <c r="EX39" s="262"/>
      <c r="EY39" s="262"/>
      <c r="EZ39" s="262"/>
      <c r="FA39" s="262"/>
      <c r="FB39" s="262"/>
      <c r="FC39" s="262"/>
      <c r="FD39" s="262"/>
      <c r="FE39" s="262"/>
      <c r="FF39" s="262"/>
      <c r="FG39" s="262"/>
      <c r="FH39" s="262"/>
      <c r="FI39" s="262"/>
      <c r="FJ39" s="262"/>
      <c r="FK39" s="262"/>
      <c r="FL39" s="262"/>
      <c r="FM39" s="262"/>
      <c r="FN39" s="262"/>
      <c r="FO39" s="262"/>
      <c r="FP39" s="262"/>
      <c r="FQ39" s="262"/>
      <c r="FR39" s="262"/>
      <c r="FS39" s="262"/>
      <c r="FT39" s="262"/>
      <c r="FU39" s="262"/>
      <c r="FV39" s="262"/>
      <c r="FW39" s="262"/>
      <c r="FX39" s="262"/>
      <c r="FY39" s="262"/>
      <c r="FZ39" s="262"/>
      <c r="GA39" s="262"/>
      <c r="GB39" s="262"/>
      <c r="GC39" s="262"/>
      <c r="GD39" s="262"/>
      <c r="GE39" s="262"/>
      <c r="GF39" s="262"/>
      <c r="GG39" s="262"/>
      <c r="GH39" s="262"/>
      <c r="GI39" s="262"/>
      <c r="GJ39" s="262"/>
      <c r="GK39" s="262"/>
      <c r="GL39" s="262"/>
      <c r="GM39" s="262"/>
      <c r="GN39" s="262"/>
    </row>
    <row r="40" spans="1:196" ht="15" x14ac:dyDescent="0.25">
      <c r="A40" s="52" t="str">
        <f>IF(COUNTBLANK(B40)=1," ",COUNTA($B$12:B40))</f>
        <v xml:space="preserve"> </v>
      </c>
      <c r="B40" s="264"/>
      <c r="C40" s="283" t="s">
        <v>21</v>
      </c>
      <c r="D40" s="283"/>
      <c r="E40" s="283"/>
      <c r="F40" s="283"/>
      <c r="G40" s="282" t="s">
        <v>32</v>
      </c>
      <c r="H40" s="274">
        <f>ROUNDUP(H36*I40,0)</f>
        <v>2030</v>
      </c>
      <c r="I40" s="274">
        <v>2.5</v>
      </c>
      <c r="J40" s="502"/>
      <c r="K40" s="502"/>
      <c r="L40" s="503"/>
      <c r="M40" s="503"/>
      <c r="N40" s="502"/>
      <c r="O40" s="314"/>
      <c r="P40" s="315"/>
      <c r="Q40" s="315"/>
      <c r="R40" s="315"/>
      <c r="S40" s="315"/>
      <c r="T40" s="315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262"/>
      <c r="DH40" s="262"/>
      <c r="DI40" s="262"/>
      <c r="DJ40" s="262"/>
      <c r="DK40" s="262"/>
      <c r="DL40" s="262"/>
      <c r="DM40" s="262"/>
      <c r="DN40" s="262"/>
      <c r="DO40" s="262"/>
      <c r="DP40" s="262"/>
      <c r="DQ40" s="262"/>
      <c r="DR40" s="262"/>
      <c r="DS40" s="262"/>
      <c r="DT40" s="262"/>
      <c r="DU40" s="262"/>
      <c r="DV40" s="262"/>
      <c r="DW40" s="262"/>
      <c r="DX40" s="262"/>
      <c r="DY40" s="262"/>
      <c r="DZ40" s="262"/>
      <c r="EA40" s="262"/>
      <c r="EB40" s="262"/>
      <c r="EC40" s="262"/>
      <c r="ED40" s="262"/>
      <c r="EE40" s="262"/>
      <c r="EF40" s="262"/>
      <c r="EG40" s="262"/>
      <c r="EH40" s="262"/>
      <c r="EI40" s="262"/>
      <c r="EJ40" s="262"/>
      <c r="EK40" s="262"/>
      <c r="EL40" s="262"/>
      <c r="EM40" s="262"/>
      <c r="EN40" s="262"/>
      <c r="EO40" s="262"/>
      <c r="EP40" s="262"/>
      <c r="EQ40" s="262"/>
      <c r="ER40" s="262"/>
      <c r="ES40" s="262"/>
      <c r="ET40" s="262"/>
      <c r="EU40" s="262"/>
      <c r="EV40" s="262"/>
      <c r="EW40" s="262"/>
      <c r="EX40" s="262"/>
      <c r="EY40" s="262"/>
      <c r="EZ40" s="262"/>
      <c r="FA40" s="262"/>
      <c r="FB40" s="262"/>
      <c r="FC40" s="262"/>
      <c r="FD40" s="262"/>
      <c r="FE40" s="262"/>
      <c r="FF40" s="262"/>
      <c r="FG40" s="262"/>
      <c r="FH40" s="262"/>
      <c r="FI40" s="262"/>
      <c r="FJ40" s="262"/>
      <c r="FK40" s="262"/>
      <c r="FL40" s="262"/>
      <c r="FM40" s="262"/>
      <c r="FN40" s="262"/>
      <c r="FO40" s="262"/>
      <c r="FP40" s="262"/>
      <c r="FQ40" s="262"/>
      <c r="FR40" s="262"/>
      <c r="FS40" s="262"/>
      <c r="FT40" s="262"/>
      <c r="FU40" s="262"/>
      <c r="FV40" s="262"/>
      <c r="FW40" s="262"/>
      <c r="FX40" s="262"/>
      <c r="FY40" s="262"/>
      <c r="FZ40" s="262"/>
      <c r="GA40" s="262"/>
      <c r="GB40" s="262"/>
      <c r="GC40" s="262"/>
      <c r="GD40" s="262"/>
      <c r="GE40" s="262"/>
      <c r="GF40" s="262"/>
      <c r="GG40" s="262"/>
      <c r="GH40" s="262"/>
      <c r="GI40" s="262"/>
      <c r="GJ40" s="262"/>
      <c r="GK40" s="262"/>
      <c r="GL40" s="262"/>
      <c r="GM40" s="262"/>
      <c r="GN40" s="262"/>
    </row>
    <row r="41" spans="1:196" ht="15" x14ac:dyDescent="0.25">
      <c r="A41" s="52" t="str">
        <f>IF(COUNTBLANK(B41)=1," ",COUNTA($B$12:B41))</f>
        <v xml:space="preserve"> </v>
      </c>
      <c r="B41" s="264"/>
      <c r="C41" s="283" t="s">
        <v>213</v>
      </c>
      <c r="D41" s="283"/>
      <c r="E41" s="283"/>
      <c r="F41" s="283"/>
      <c r="G41" s="264" t="s">
        <v>52</v>
      </c>
      <c r="H41" s="274">
        <f>ROUNDUP(H36*I41,2)</f>
        <v>202.98999999999998</v>
      </c>
      <c r="I41" s="274">
        <v>0.25</v>
      </c>
      <c r="J41" s="500"/>
      <c r="K41" s="500"/>
      <c r="L41" s="499"/>
      <c r="M41" s="499"/>
      <c r="N41" s="500"/>
      <c r="O41" s="314"/>
      <c r="P41" s="315"/>
      <c r="Q41" s="315"/>
      <c r="R41" s="315"/>
      <c r="S41" s="315"/>
      <c r="T41" s="315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2"/>
      <c r="BN41" s="262"/>
      <c r="BO41" s="262"/>
      <c r="BP41" s="262"/>
      <c r="BQ41" s="262"/>
      <c r="BR41" s="262"/>
      <c r="BS41" s="262"/>
      <c r="BT41" s="262"/>
      <c r="BU41" s="262"/>
      <c r="BV41" s="262"/>
      <c r="BW41" s="262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262"/>
      <c r="DH41" s="262"/>
      <c r="DI41" s="262"/>
      <c r="DJ41" s="262"/>
      <c r="DK41" s="262"/>
      <c r="DL41" s="262"/>
      <c r="DM41" s="262"/>
      <c r="DN41" s="262"/>
      <c r="DO41" s="262"/>
      <c r="DP41" s="262"/>
      <c r="DQ41" s="262"/>
      <c r="DR41" s="262"/>
      <c r="DS41" s="262"/>
      <c r="DT41" s="262"/>
      <c r="DU41" s="262"/>
      <c r="DV41" s="262"/>
      <c r="DW41" s="262"/>
      <c r="DX41" s="262"/>
      <c r="DY41" s="262"/>
      <c r="DZ41" s="262"/>
      <c r="EA41" s="262"/>
      <c r="EB41" s="262"/>
      <c r="EC41" s="262"/>
      <c r="ED41" s="262"/>
      <c r="EE41" s="262"/>
      <c r="EF41" s="262"/>
      <c r="EG41" s="262"/>
      <c r="EH41" s="262"/>
      <c r="EI41" s="262"/>
      <c r="EJ41" s="262"/>
      <c r="EK41" s="262"/>
      <c r="EL41" s="262"/>
      <c r="EM41" s="262"/>
      <c r="EN41" s="262"/>
      <c r="EO41" s="262"/>
      <c r="EP41" s="262"/>
      <c r="EQ41" s="262"/>
      <c r="ER41" s="262"/>
      <c r="ES41" s="262"/>
      <c r="ET41" s="262"/>
      <c r="EU41" s="262"/>
      <c r="EV41" s="262"/>
      <c r="EW41" s="262"/>
      <c r="EX41" s="262"/>
      <c r="EY41" s="262"/>
      <c r="EZ41" s="262"/>
      <c r="FA41" s="262"/>
      <c r="FB41" s="262"/>
      <c r="FC41" s="262"/>
      <c r="FD41" s="262"/>
      <c r="FE41" s="262"/>
      <c r="FF41" s="262"/>
      <c r="FG41" s="262"/>
      <c r="FH41" s="262"/>
      <c r="FI41" s="262"/>
      <c r="FJ41" s="262"/>
      <c r="FK41" s="262"/>
      <c r="FL41" s="262"/>
      <c r="FM41" s="262"/>
      <c r="FN41" s="262"/>
      <c r="FO41" s="262"/>
      <c r="FP41" s="262"/>
      <c r="FQ41" s="262"/>
      <c r="FR41" s="262"/>
      <c r="FS41" s="262"/>
      <c r="FT41" s="262"/>
      <c r="FU41" s="262"/>
      <c r="FV41" s="262"/>
      <c r="FW41" s="262"/>
      <c r="FX41" s="262"/>
      <c r="FY41" s="262"/>
      <c r="FZ41" s="262"/>
      <c r="GA41" s="262"/>
      <c r="GB41" s="262"/>
      <c r="GC41" s="262"/>
      <c r="GD41" s="262"/>
      <c r="GE41" s="262"/>
      <c r="GF41" s="262"/>
      <c r="GG41" s="262"/>
      <c r="GH41" s="262"/>
      <c r="GI41" s="262"/>
      <c r="GJ41" s="262"/>
      <c r="GK41" s="262"/>
      <c r="GL41" s="262"/>
      <c r="GM41" s="262"/>
      <c r="GN41" s="262"/>
    </row>
    <row r="42" spans="1:196" ht="15" x14ac:dyDescent="0.25">
      <c r="A42" s="52" t="str">
        <f>IF(COUNTBLANK(B42)=1," ",COUNTA($B$12:B42))</f>
        <v xml:space="preserve"> </v>
      </c>
      <c r="B42" s="264"/>
      <c r="C42" s="283" t="s">
        <v>22</v>
      </c>
      <c r="D42" s="283"/>
      <c r="E42" s="283"/>
      <c r="F42" s="283"/>
      <c r="G42" s="264" t="s">
        <v>16</v>
      </c>
      <c r="H42" s="274">
        <f>ROUNDUP(H37*I42,2)</f>
        <v>1351.68</v>
      </c>
      <c r="I42" s="274">
        <v>0.64</v>
      </c>
      <c r="J42" s="504"/>
      <c r="K42" s="504"/>
      <c r="L42" s="498"/>
      <c r="M42" s="498"/>
      <c r="N42" s="504"/>
      <c r="O42" s="314"/>
      <c r="P42" s="315"/>
      <c r="Q42" s="315"/>
      <c r="R42" s="315"/>
      <c r="S42" s="315"/>
      <c r="T42" s="315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2"/>
      <c r="BQ42" s="262"/>
      <c r="BR42" s="262"/>
      <c r="BS42" s="262"/>
      <c r="BT42" s="262"/>
      <c r="BU42" s="262"/>
      <c r="BV42" s="262"/>
      <c r="BW42" s="262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262"/>
      <c r="CP42" s="262"/>
      <c r="CQ42" s="262"/>
      <c r="CR42" s="262"/>
      <c r="CS42" s="262"/>
      <c r="CT42" s="262"/>
      <c r="CU42" s="262"/>
      <c r="CV42" s="262"/>
      <c r="CW42" s="262"/>
      <c r="CX42" s="262"/>
      <c r="CY42" s="262"/>
      <c r="CZ42" s="262"/>
      <c r="DA42" s="262"/>
      <c r="DB42" s="262"/>
      <c r="DC42" s="262"/>
      <c r="DD42" s="262"/>
      <c r="DE42" s="262"/>
      <c r="DF42" s="262"/>
      <c r="DG42" s="262"/>
      <c r="DH42" s="262"/>
      <c r="DI42" s="262"/>
      <c r="DJ42" s="262"/>
      <c r="DK42" s="262"/>
      <c r="DL42" s="262"/>
      <c r="DM42" s="262"/>
      <c r="DN42" s="262"/>
      <c r="DO42" s="262"/>
      <c r="DP42" s="262"/>
      <c r="DQ42" s="262"/>
      <c r="DR42" s="262"/>
      <c r="DS42" s="262"/>
      <c r="DT42" s="262"/>
      <c r="DU42" s="262"/>
      <c r="DV42" s="262"/>
      <c r="DW42" s="262"/>
      <c r="DX42" s="262"/>
      <c r="DY42" s="262"/>
      <c r="DZ42" s="262"/>
      <c r="EA42" s="262"/>
      <c r="EB42" s="262"/>
      <c r="EC42" s="262"/>
      <c r="ED42" s="262"/>
      <c r="EE42" s="262"/>
      <c r="EF42" s="262"/>
      <c r="EG42" s="262"/>
      <c r="EH42" s="262"/>
      <c r="EI42" s="262"/>
      <c r="EJ42" s="262"/>
      <c r="EK42" s="262"/>
      <c r="EL42" s="262"/>
      <c r="EM42" s="262"/>
      <c r="EN42" s="262"/>
      <c r="EO42" s="262"/>
      <c r="EP42" s="262"/>
      <c r="EQ42" s="262"/>
      <c r="ER42" s="262"/>
      <c r="ES42" s="262"/>
      <c r="ET42" s="262"/>
      <c r="EU42" s="262"/>
      <c r="EV42" s="262"/>
      <c r="EW42" s="262"/>
      <c r="EX42" s="262"/>
      <c r="EY42" s="262"/>
      <c r="EZ42" s="262"/>
      <c r="FA42" s="262"/>
      <c r="FB42" s="262"/>
      <c r="FC42" s="262"/>
      <c r="FD42" s="262"/>
      <c r="FE42" s="262"/>
      <c r="FF42" s="262"/>
      <c r="FG42" s="262"/>
      <c r="FH42" s="262"/>
      <c r="FI42" s="262"/>
      <c r="FJ42" s="262"/>
      <c r="FK42" s="262"/>
      <c r="FL42" s="262"/>
      <c r="FM42" s="262"/>
      <c r="FN42" s="262"/>
      <c r="FO42" s="262"/>
      <c r="FP42" s="262"/>
      <c r="FQ42" s="262"/>
      <c r="FR42" s="262"/>
      <c r="FS42" s="262"/>
      <c r="FT42" s="262"/>
      <c r="FU42" s="262"/>
      <c r="FV42" s="262"/>
      <c r="FW42" s="262"/>
      <c r="FX42" s="262"/>
      <c r="FY42" s="262"/>
      <c r="FZ42" s="262"/>
      <c r="GA42" s="262"/>
      <c r="GB42" s="262"/>
      <c r="GC42" s="262"/>
      <c r="GD42" s="262"/>
      <c r="GE42" s="262"/>
      <c r="GF42" s="262"/>
      <c r="GG42" s="262"/>
      <c r="GH42" s="262"/>
      <c r="GI42" s="262"/>
      <c r="GJ42" s="262"/>
      <c r="GK42" s="262"/>
      <c r="GL42" s="262"/>
      <c r="GM42" s="262"/>
      <c r="GN42" s="262"/>
    </row>
    <row r="43" spans="1:196" ht="67.5" x14ac:dyDescent="0.25">
      <c r="A43" s="52" t="str">
        <f>IF(COUNTBLANK(B43)=1," ",COUNTA($B$12:B43))</f>
        <v xml:space="preserve"> </v>
      </c>
      <c r="B43" s="13"/>
      <c r="C43" s="52" t="s">
        <v>190</v>
      </c>
      <c r="D43" s="57"/>
      <c r="E43" s="57"/>
      <c r="F43" s="57"/>
      <c r="G43" s="57"/>
      <c r="H43" s="86"/>
      <c r="I43" s="34"/>
      <c r="J43" s="34"/>
      <c r="K43" s="271"/>
      <c r="L43" s="34"/>
      <c r="M43" s="34"/>
      <c r="N43" s="34"/>
      <c r="O43" s="314"/>
      <c r="P43" s="315"/>
      <c r="Q43" s="315"/>
      <c r="R43" s="315"/>
      <c r="S43" s="315"/>
      <c r="T43" s="315"/>
    </row>
    <row r="44" spans="1:196" x14ac:dyDescent="0.25">
      <c r="A44" s="52">
        <f>IF(COUNTBLANK(B44)=1," ",COUNTA($B$12:B44))</f>
        <v>23</v>
      </c>
      <c r="B44" s="13" t="s">
        <v>14</v>
      </c>
      <c r="C44" s="222" t="str">
        <f>apjom!B23</f>
        <v>D1</v>
      </c>
      <c r="D44" s="57">
        <f>apjom!D23</f>
        <v>4</v>
      </c>
      <c r="E44" s="57">
        <f>apjom!F23</f>
        <v>1.27</v>
      </c>
      <c r="F44" s="57">
        <f>apjom!G23</f>
        <v>2.1</v>
      </c>
      <c r="G44" s="57" t="s">
        <v>17</v>
      </c>
      <c r="H44" s="34">
        <f t="shared" ref="H44:H49" si="3">F44*E44*D44</f>
        <v>10.668000000000001</v>
      </c>
      <c r="I44" s="34"/>
      <c r="J44" s="421"/>
      <c r="K44" s="499"/>
      <c r="L44" s="421"/>
      <c r="M44" s="505"/>
      <c r="N44" s="421"/>
      <c r="O44" s="314"/>
      <c r="P44" s="315"/>
      <c r="Q44" s="315"/>
      <c r="R44" s="315"/>
      <c r="S44" s="315"/>
      <c r="T44" s="315"/>
    </row>
    <row r="45" spans="1:196" x14ac:dyDescent="0.25">
      <c r="A45" s="52">
        <f>IF(COUNTBLANK(B45)=1," ",COUNTA($B$12:B45))</f>
        <v>24</v>
      </c>
      <c r="B45" s="13" t="s">
        <v>14</v>
      </c>
      <c r="C45" s="222" t="str">
        <f>apjom!B24</f>
        <v>D2</v>
      </c>
      <c r="D45" s="57">
        <f>apjom!D24</f>
        <v>0</v>
      </c>
      <c r="E45" s="57">
        <f>apjom!F24</f>
        <v>1.27</v>
      </c>
      <c r="F45" s="57">
        <f>apjom!G24</f>
        <v>2.1</v>
      </c>
      <c r="G45" s="57" t="s">
        <v>17</v>
      </c>
      <c r="H45" s="34">
        <f t="shared" si="3"/>
        <v>0</v>
      </c>
      <c r="I45" s="34"/>
      <c r="J45" s="421"/>
      <c r="K45" s="499"/>
      <c r="L45" s="421"/>
      <c r="M45" s="505"/>
      <c r="N45" s="421"/>
      <c r="O45" s="314"/>
      <c r="P45" s="315"/>
      <c r="Q45" s="315"/>
      <c r="R45" s="315"/>
      <c r="S45" s="315"/>
      <c r="T45" s="315"/>
    </row>
    <row r="46" spans="1:196" x14ac:dyDescent="0.25">
      <c r="A46" s="52">
        <f>IF(COUNTBLANK(B46)=1," ",COUNTA($B$12:B46))</f>
        <v>25</v>
      </c>
      <c r="B46" s="13" t="s">
        <v>14</v>
      </c>
      <c r="C46" s="222" t="str">
        <f>apjom!B25</f>
        <v>D2*</v>
      </c>
      <c r="D46" s="57">
        <f>apjom!D25</f>
        <v>2</v>
      </c>
      <c r="E46" s="57">
        <f>apjom!F25</f>
        <v>1.27</v>
      </c>
      <c r="F46" s="57">
        <f>apjom!G25</f>
        <v>2.1</v>
      </c>
      <c r="G46" s="57" t="s">
        <v>17</v>
      </c>
      <c r="H46" s="34">
        <f t="shared" si="3"/>
        <v>5.3340000000000005</v>
      </c>
      <c r="I46" s="34"/>
      <c r="J46" s="421"/>
      <c r="K46" s="499"/>
      <c r="L46" s="421"/>
      <c r="M46" s="505"/>
      <c r="N46" s="421"/>
      <c r="O46" s="314"/>
      <c r="P46" s="315"/>
      <c r="Q46" s="315"/>
      <c r="R46" s="315"/>
      <c r="S46" s="315"/>
      <c r="T46" s="315"/>
    </row>
    <row r="47" spans="1:196" x14ac:dyDescent="0.25">
      <c r="A47" s="52">
        <f>IF(COUNTBLANK(B47)=1," ",COUNTA($B$12:B47))</f>
        <v>26</v>
      </c>
      <c r="B47" s="13" t="s">
        <v>14</v>
      </c>
      <c r="C47" s="222" t="str">
        <f>apjom!B26</f>
        <v>D3</v>
      </c>
      <c r="D47" s="57">
        <f>apjom!D26</f>
        <v>0</v>
      </c>
      <c r="E47" s="57">
        <f>apjom!F26</f>
        <v>0.7</v>
      </c>
      <c r="F47" s="57">
        <f>apjom!G26</f>
        <v>2.1</v>
      </c>
      <c r="G47" s="57" t="s">
        <v>17</v>
      </c>
      <c r="H47" s="34">
        <f t="shared" si="3"/>
        <v>0</v>
      </c>
      <c r="I47" s="34"/>
      <c r="J47" s="421"/>
      <c r="K47" s="499"/>
      <c r="L47" s="421"/>
      <c r="M47" s="505"/>
      <c r="N47" s="421"/>
      <c r="O47" s="314"/>
      <c r="P47" s="315"/>
      <c r="Q47" s="315"/>
      <c r="R47" s="315"/>
      <c r="S47" s="315"/>
      <c r="T47" s="315"/>
    </row>
    <row r="48" spans="1:196" x14ac:dyDescent="0.25">
      <c r="A48" s="52">
        <f>IF(COUNTBLANK(B48)=1," ",COUNTA($B$12:B48))</f>
        <v>27</v>
      </c>
      <c r="B48" s="13" t="s">
        <v>14</v>
      </c>
      <c r="C48" s="222" t="str">
        <f>apjom!B27</f>
        <v>D4</v>
      </c>
      <c r="D48" s="57">
        <f>apjom!D27</f>
        <v>29</v>
      </c>
      <c r="E48" s="57">
        <f>apjom!F27</f>
        <v>0.7</v>
      </c>
      <c r="F48" s="57">
        <f>apjom!G27</f>
        <v>2.1</v>
      </c>
      <c r="G48" s="57" t="s">
        <v>17</v>
      </c>
      <c r="H48" s="34">
        <f t="shared" si="3"/>
        <v>42.63</v>
      </c>
      <c r="I48" s="34"/>
      <c r="J48" s="421"/>
      <c r="K48" s="499"/>
      <c r="L48" s="421"/>
      <c r="M48" s="505"/>
      <c r="N48" s="421"/>
      <c r="O48" s="314"/>
      <c r="P48" s="315"/>
      <c r="Q48" s="315"/>
      <c r="R48" s="315"/>
      <c r="S48" s="315"/>
      <c r="T48" s="315"/>
    </row>
    <row r="49" spans="1:196" x14ac:dyDescent="0.25">
      <c r="A49" s="52">
        <f>IF(COUNTBLANK(B49)=1," ",COUNTA($B$12:B49))</f>
        <v>28</v>
      </c>
      <c r="B49" s="13" t="s">
        <v>14</v>
      </c>
      <c r="C49" s="222" t="str">
        <f>apjom!B28</f>
        <v>D5</v>
      </c>
      <c r="D49" s="57">
        <f>apjom!D28</f>
        <v>4</v>
      </c>
      <c r="E49" s="57">
        <f>apjom!F28</f>
        <v>0.95</v>
      </c>
      <c r="F49" s="57">
        <f>apjom!G28</f>
        <v>1.9</v>
      </c>
      <c r="G49" s="57" t="s">
        <v>17</v>
      </c>
      <c r="H49" s="34">
        <f t="shared" si="3"/>
        <v>7.22</v>
      </c>
      <c r="I49" s="34"/>
      <c r="J49" s="421"/>
      <c r="K49" s="499"/>
      <c r="L49" s="421"/>
      <c r="M49" s="505"/>
      <c r="N49" s="421"/>
      <c r="O49" s="314"/>
      <c r="P49" s="315"/>
      <c r="Q49" s="315"/>
      <c r="R49" s="315"/>
      <c r="S49" s="315"/>
      <c r="T49" s="315"/>
    </row>
    <row r="50" spans="1:196" ht="15" x14ac:dyDescent="0.25">
      <c r="A50" s="52">
        <f>IF(COUNTBLANK(B50)=1," ",COUNTA($B$12:B50))</f>
        <v>29</v>
      </c>
      <c r="B50" s="286" t="s">
        <v>14</v>
      </c>
      <c r="C50" s="285" t="s">
        <v>214</v>
      </c>
      <c r="D50" s="285"/>
      <c r="E50" s="285"/>
      <c r="F50" s="285"/>
      <c r="G50" s="264" t="s">
        <v>17</v>
      </c>
      <c r="H50" s="274">
        <f>SUM(H44:H49)</f>
        <v>65.852000000000004</v>
      </c>
      <c r="I50" s="274"/>
      <c r="J50" s="506"/>
      <c r="K50" s="499"/>
      <c r="L50" s="506"/>
      <c r="M50" s="507"/>
      <c r="N50" s="506"/>
      <c r="O50" s="314"/>
      <c r="P50" s="315"/>
      <c r="Q50" s="315"/>
      <c r="R50" s="315"/>
      <c r="S50" s="315"/>
      <c r="T50" s="315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C50" s="262"/>
      <c r="CD50" s="262"/>
      <c r="CE50" s="262"/>
      <c r="CF50" s="262"/>
      <c r="CG50" s="262"/>
      <c r="CH50" s="262"/>
      <c r="CI50" s="262"/>
      <c r="CJ50" s="262"/>
      <c r="CK50" s="262"/>
      <c r="CL50" s="262"/>
      <c r="CM50" s="262"/>
      <c r="CN50" s="262"/>
      <c r="CO50" s="262"/>
      <c r="CP50" s="262"/>
      <c r="CQ50" s="262"/>
      <c r="CR50" s="262"/>
      <c r="CS50" s="262"/>
      <c r="CT50" s="262"/>
      <c r="CU50" s="262"/>
      <c r="CV50" s="262"/>
      <c r="CW50" s="262"/>
      <c r="CX50" s="262"/>
      <c r="CY50" s="262"/>
      <c r="CZ50" s="262"/>
      <c r="DA50" s="262"/>
      <c r="DB50" s="262"/>
      <c r="DC50" s="262"/>
      <c r="DD50" s="262"/>
      <c r="DE50" s="262"/>
      <c r="DF50" s="262"/>
      <c r="DG50" s="262"/>
      <c r="DH50" s="262"/>
      <c r="DI50" s="262"/>
      <c r="DJ50" s="262"/>
      <c r="DK50" s="262"/>
      <c r="DL50" s="262"/>
      <c r="DM50" s="262"/>
      <c r="DN50" s="262"/>
      <c r="DO50" s="262"/>
      <c r="DP50" s="262"/>
      <c r="DQ50" s="262"/>
      <c r="DR50" s="262"/>
      <c r="DS50" s="262"/>
      <c r="DT50" s="262"/>
      <c r="DU50" s="262"/>
      <c r="DV50" s="262"/>
      <c r="DW50" s="262"/>
      <c r="DX50" s="262"/>
      <c r="DY50" s="262"/>
      <c r="DZ50" s="262"/>
      <c r="EA50" s="262"/>
      <c r="EB50" s="262"/>
      <c r="EC50" s="262"/>
      <c r="ED50" s="262"/>
      <c r="EE50" s="262"/>
      <c r="EF50" s="262"/>
      <c r="EG50" s="262"/>
      <c r="EH50" s="262"/>
      <c r="EI50" s="262"/>
      <c r="EJ50" s="262"/>
      <c r="EK50" s="262"/>
      <c r="EL50" s="262"/>
      <c r="EM50" s="262"/>
      <c r="EN50" s="262"/>
      <c r="EO50" s="262"/>
      <c r="EP50" s="262"/>
      <c r="EQ50" s="262"/>
      <c r="ER50" s="262"/>
      <c r="ES50" s="262"/>
      <c r="ET50" s="262"/>
      <c r="EU50" s="262"/>
      <c r="EV50" s="262"/>
      <c r="EW50" s="262"/>
      <c r="EX50" s="262"/>
      <c r="EY50" s="262"/>
      <c r="EZ50" s="262"/>
      <c r="FA50" s="262"/>
      <c r="FB50" s="262"/>
      <c r="FC50" s="262"/>
      <c r="FD50" s="262"/>
      <c r="FE50" s="262"/>
      <c r="FF50" s="262"/>
      <c r="FG50" s="262"/>
      <c r="FH50" s="262"/>
      <c r="FI50" s="262"/>
      <c r="FJ50" s="262"/>
      <c r="FK50" s="262"/>
      <c r="FL50" s="262"/>
      <c r="FM50" s="262"/>
      <c r="FN50" s="262"/>
      <c r="FO50" s="262"/>
      <c r="FP50" s="262"/>
      <c r="FQ50" s="262"/>
      <c r="FR50" s="262"/>
      <c r="FS50" s="262"/>
      <c r="FT50" s="262"/>
      <c r="FU50" s="262"/>
      <c r="FV50" s="262"/>
      <c r="FW50" s="262"/>
      <c r="FX50" s="262"/>
      <c r="FY50" s="262"/>
      <c r="FZ50" s="262"/>
      <c r="GA50" s="262"/>
      <c r="GB50" s="262"/>
      <c r="GC50" s="262"/>
      <c r="GD50" s="262"/>
      <c r="GE50" s="262"/>
      <c r="GF50" s="262"/>
      <c r="GG50" s="262"/>
      <c r="GH50" s="262"/>
      <c r="GI50" s="262"/>
      <c r="GJ50" s="262"/>
      <c r="GK50" s="262"/>
      <c r="GL50" s="262"/>
      <c r="GM50" s="262"/>
      <c r="GN50" s="262"/>
    </row>
    <row r="51" spans="1:196" ht="15" x14ac:dyDescent="0.25">
      <c r="A51" s="52" t="str">
        <f>IF(COUNTBLANK(B51)=1," ",COUNTA($B$12:B51))</f>
        <v xml:space="preserve"> </v>
      </c>
      <c r="B51" s="264"/>
      <c r="C51" s="283" t="s">
        <v>18</v>
      </c>
      <c r="D51" s="283"/>
      <c r="E51" s="283"/>
      <c r="F51" s="283"/>
      <c r="G51" s="743" t="s">
        <v>32</v>
      </c>
      <c r="H51" s="273">
        <f>ROUNDUP(H50*I51,0)</f>
        <v>172</v>
      </c>
      <c r="I51" s="273">
        <v>2.6</v>
      </c>
      <c r="J51" s="506"/>
      <c r="K51" s="506"/>
      <c r="L51" s="506"/>
      <c r="M51" s="211"/>
      <c r="N51" s="506"/>
      <c r="O51" s="314"/>
      <c r="P51" s="315"/>
      <c r="Q51" s="315"/>
      <c r="R51" s="315"/>
      <c r="S51" s="315"/>
      <c r="T51" s="315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2"/>
      <c r="BH51" s="262"/>
      <c r="BI51" s="262"/>
      <c r="BJ51" s="262"/>
      <c r="BK51" s="262"/>
      <c r="BL51" s="262"/>
      <c r="BM51" s="262"/>
      <c r="BN51" s="262"/>
      <c r="BO51" s="262"/>
      <c r="BP51" s="262"/>
      <c r="BQ51" s="262"/>
      <c r="BR51" s="262"/>
      <c r="BS51" s="262"/>
      <c r="BT51" s="262"/>
      <c r="BU51" s="262"/>
      <c r="BV51" s="262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2"/>
      <c r="CH51" s="262"/>
      <c r="CI51" s="262"/>
      <c r="CJ51" s="262"/>
      <c r="CK51" s="262"/>
      <c r="CL51" s="262"/>
      <c r="CM51" s="262"/>
      <c r="CN51" s="262"/>
      <c r="CO51" s="262"/>
      <c r="CP51" s="262"/>
      <c r="CQ51" s="262"/>
      <c r="CR51" s="262"/>
      <c r="CS51" s="262"/>
      <c r="CT51" s="262"/>
      <c r="CU51" s="262"/>
      <c r="CV51" s="262"/>
      <c r="CW51" s="262"/>
      <c r="CX51" s="262"/>
      <c r="CY51" s="262"/>
      <c r="CZ51" s="262"/>
      <c r="DA51" s="262"/>
      <c r="DB51" s="262"/>
      <c r="DC51" s="262"/>
      <c r="DD51" s="262"/>
      <c r="DE51" s="262"/>
      <c r="DF51" s="262"/>
      <c r="DG51" s="262"/>
      <c r="DH51" s="262"/>
      <c r="DI51" s="262"/>
      <c r="DJ51" s="262"/>
      <c r="DK51" s="262"/>
      <c r="DL51" s="262"/>
      <c r="DM51" s="262"/>
      <c r="DN51" s="262"/>
      <c r="DO51" s="262"/>
      <c r="DP51" s="262"/>
      <c r="DQ51" s="262"/>
      <c r="DR51" s="262"/>
      <c r="DS51" s="262"/>
      <c r="DT51" s="262"/>
      <c r="DU51" s="262"/>
      <c r="DV51" s="262"/>
      <c r="DW51" s="262"/>
      <c r="DX51" s="262"/>
      <c r="DY51" s="262"/>
      <c r="DZ51" s="262"/>
      <c r="EA51" s="262"/>
      <c r="EB51" s="262"/>
      <c r="EC51" s="262"/>
      <c r="ED51" s="262"/>
      <c r="EE51" s="262"/>
      <c r="EF51" s="262"/>
      <c r="EG51" s="262"/>
      <c r="EH51" s="262"/>
      <c r="EI51" s="262"/>
      <c r="EJ51" s="262"/>
      <c r="EK51" s="262"/>
      <c r="EL51" s="262"/>
      <c r="EM51" s="262"/>
      <c r="EN51" s="262"/>
      <c r="EO51" s="262"/>
      <c r="EP51" s="262"/>
      <c r="EQ51" s="262"/>
      <c r="ER51" s="262"/>
      <c r="ES51" s="262"/>
      <c r="ET51" s="262"/>
      <c r="EU51" s="262"/>
      <c r="EV51" s="262"/>
      <c r="EW51" s="262"/>
      <c r="EX51" s="262"/>
      <c r="EY51" s="262"/>
      <c r="EZ51" s="262"/>
      <c r="FA51" s="262"/>
      <c r="FB51" s="262"/>
      <c r="FC51" s="262"/>
      <c r="FD51" s="262"/>
      <c r="FE51" s="262"/>
      <c r="FF51" s="262"/>
      <c r="FG51" s="262"/>
      <c r="FH51" s="262"/>
      <c r="FI51" s="262"/>
      <c r="FJ51" s="262"/>
      <c r="FK51" s="262"/>
      <c r="FL51" s="262"/>
      <c r="FM51" s="262"/>
      <c r="FN51" s="262"/>
      <c r="FO51" s="262"/>
      <c r="FP51" s="262"/>
      <c r="FQ51" s="262"/>
      <c r="FR51" s="262"/>
      <c r="FS51" s="262"/>
      <c r="FT51" s="262"/>
      <c r="FU51" s="262"/>
      <c r="FV51" s="262"/>
      <c r="FW51" s="262"/>
      <c r="FX51" s="262"/>
      <c r="FY51" s="262"/>
      <c r="FZ51" s="262"/>
      <c r="GA51" s="262"/>
      <c r="GB51" s="262"/>
      <c r="GC51" s="262"/>
      <c r="GD51" s="262"/>
      <c r="GE51" s="262"/>
      <c r="GF51" s="262"/>
      <c r="GG51" s="262"/>
      <c r="GH51" s="262"/>
      <c r="GI51" s="262"/>
      <c r="GJ51" s="262"/>
      <c r="GK51" s="262"/>
      <c r="GL51" s="262"/>
      <c r="GM51" s="262"/>
      <c r="GN51" s="262"/>
    </row>
    <row r="52" spans="1:196" ht="15" x14ac:dyDescent="0.25">
      <c r="A52" s="52" t="str">
        <f>IF(COUNTBLANK(B52)=1," ",COUNTA($B$12:B52))</f>
        <v xml:space="preserve"> </v>
      </c>
      <c r="B52" s="264"/>
      <c r="C52" s="285" t="s">
        <v>19</v>
      </c>
      <c r="D52" s="285"/>
      <c r="E52" s="285"/>
      <c r="F52" s="285"/>
      <c r="G52" s="743" t="s">
        <v>32</v>
      </c>
      <c r="H52" s="274">
        <f>ROUNDUP(H50*I52,0)</f>
        <v>132</v>
      </c>
      <c r="I52" s="274">
        <v>2</v>
      </c>
      <c r="J52" s="506"/>
      <c r="K52" s="506"/>
      <c r="L52" s="506"/>
      <c r="M52" s="211"/>
      <c r="N52" s="506"/>
      <c r="O52" s="314"/>
      <c r="P52" s="315"/>
      <c r="Q52" s="315"/>
      <c r="R52" s="315"/>
      <c r="S52" s="315"/>
      <c r="T52" s="315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2"/>
      <c r="BQ52" s="262"/>
      <c r="BR52" s="262"/>
      <c r="BS52" s="262"/>
      <c r="BT52" s="262"/>
      <c r="BU52" s="262"/>
      <c r="BV52" s="262"/>
      <c r="BW52" s="262"/>
      <c r="BX52" s="262"/>
      <c r="BY52" s="262"/>
      <c r="BZ52" s="262"/>
      <c r="CA52" s="262"/>
      <c r="CB52" s="262"/>
      <c r="CC52" s="262"/>
      <c r="CD52" s="262"/>
      <c r="CE52" s="262"/>
      <c r="CF52" s="262"/>
      <c r="CG52" s="262"/>
      <c r="CH52" s="262"/>
      <c r="CI52" s="262"/>
      <c r="CJ52" s="262"/>
      <c r="CK52" s="262"/>
      <c r="CL52" s="262"/>
      <c r="CM52" s="262"/>
      <c r="CN52" s="262"/>
      <c r="CO52" s="262"/>
      <c r="CP52" s="262"/>
      <c r="CQ52" s="262"/>
      <c r="CR52" s="262"/>
      <c r="CS52" s="262"/>
      <c r="CT52" s="262"/>
      <c r="CU52" s="262"/>
      <c r="CV52" s="262"/>
      <c r="CW52" s="262"/>
      <c r="CX52" s="262"/>
      <c r="CY52" s="262"/>
      <c r="CZ52" s="262"/>
      <c r="DA52" s="262"/>
      <c r="DB52" s="262"/>
      <c r="DC52" s="262"/>
      <c r="DD52" s="262"/>
      <c r="DE52" s="262"/>
      <c r="DF52" s="262"/>
      <c r="DG52" s="262"/>
      <c r="DH52" s="262"/>
      <c r="DI52" s="262"/>
      <c r="DJ52" s="262"/>
      <c r="DK52" s="262"/>
      <c r="DL52" s="262"/>
      <c r="DM52" s="262"/>
      <c r="DN52" s="262"/>
      <c r="DO52" s="262"/>
      <c r="DP52" s="262"/>
      <c r="DQ52" s="262"/>
      <c r="DR52" s="262"/>
      <c r="DS52" s="262"/>
      <c r="DT52" s="262"/>
      <c r="DU52" s="262"/>
      <c r="DV52" s="262"/>
      <c r="DW52" s="262"/>
      <c r="DX52" s="262"/>
      <c r="DY52" s="262"/>
      <c r="DZ52" s="262"/>
      <c r="EA52" s="262"/>
      <c r="EB52" s="262"/>
      <c r="EC52" s="262"/>
      <c r="ED52" s="262"/>
      <c r="EE52" s="262"/>
      <c r="EF52" s="262"/>
      <c r="EG52" s="262"/>
      <c r="EH52" s="262"/>
      <c r="EI52" s="262"/>
      <c r="EJ52" s="262"/>
      <c r="EK52" s="262"/>
      <c r="EL52" s="262"/>
      <c r="EM52" s="262"/>
      <c r="EN52" s="262"/>
      <c r="EO52" s="262"/>
      <c r="EP52" s="262"/>
      <c r="EQ52" s="262"/>
      <c r="ER52" s="262"/>
      <c r="ES52" s="262"/>
      <c r="ET52" s="262"/>
      <c r="EU52" s="262"/>
      <c r="EV52" s="262"/>
      <c r="EW52" s="262"/>
      <c r="EX52" s="262"/>
      <c r="EY52" s="262"/>
      <c r="EZ52" s="262"/>
      <c r="FA52" s="262"/>
      <c r="FB52" s="262"/>
      <c r="FC52" s="262"/>
      <c r="FD52" s="262"/>
      <c r="FE52" s="262"/>
      <c r="FF52" s="262"/>
      <c r="FG52" s="262"/>
      <c r="FH52" s="262"/>
      <c r="FI52" s="262"/>
      <c r="FJ52" s="262"/>
      <c r="FK52" s="262"/>
      <c r="FL52" s="262"/>
      <c r="FM52" s="262"/>
      <c r="FN52" s="262"/>
      <c r="FO52" s="262"/>
      <c r="FP52" s="262"/>
      <c r="FQ52" s="262"/>
      <c r="FR52" s="262"/>
      <c r="FS52" s="262"/>
      <c r="FT52" s="262"/>
      <c r="FU52" s="262"/>
      <c r="FV52" s="262"/>
      <c r="FW52" s="262"/>
      <c r="FX52" s="262"/>
      <c r="FY52" s="262"/>
      <c r="FZ52" s="262"/>
      <c r="GA52" s="262"/>
      <c r="GB52" s="262"/>
      <c r="GC52" s="262"/>
      <c r="GD52" s="262"/>
      <c r="GE52" s="262"/>
      <c r="GF52" s="262"/>
      <c r="GG52" s="262"/>
      <c r="GH52" s="262"/>
      <c r="GI52" s="262"/>
      <c r="GJ52" s="262"/>
      <c r="GK52" s="262"/>
      <c r="GL52" s="262"/>
      <c r="GM52" s="262"/>
      <c r="GN52" s="262"/>
    </row>
    <row r="53" spans="1:196" ht="15" x14ac:dyDescent="0.25">
      <c r="A53" s="52" t="str">
        <f>IF(COUNTBLANK(B53)=1," ",COUNTA($B$12:B53))</f>
        <v xml:space="preserve"> </v>
      </c>
      <c r="B53" s="286"/>
      <c r="C53" s="283" t="s">
        <v>20</v>
      </c>
      <c r="D53" s="283"/>
      <c r="E53" s="283"/>
      <c r="F53" s="283"/>
      <c r="G53" s="264" t="s">
        <v>52</v>
      </c>
      <c r="H53" s="274">
        <f>ROUNDUP(H50*I53,0)</f>
        <v>27</v>
      </c>
      <c r="I53" s="274">
        <v>0.4</v>
      </c>
      <c r="J53" s="506"/>
      <c r="K53" s="506"/>
      <c r="L53" s="506"/>
      <c r="M53" s="211"/>
      <c r="N53" s="506"/>
      <c r="O53" s="314"/>
      <c r="P53" s="315"/>
      <c r="Q53" s="315"/>
      <c r="R53" s="315"/>
      <c r="S53" s="315"/>
      <c r="T53" s="315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62"/>
      <c r="AN53" s="262"/>
      <c r="AO53" s="262"/>
      <c r="AP53" s="262"/>
      <c r="AQ53" s="262"/>
      <c r="AR53" s="262"/>
      <c r="AS53" s="262"/>
      <c r="AT53" s="262"/>
      <c r="AU53" s="262"/>
      <c r="AV53" s="262"/>
      <c r="AW53" s="262"/>
      <c r="AX53" s="262"/>
      <c r="AY53" s="262"/>
      <c r="AZ53" s="262"/>
      <c r="BA53" s="262"/>
      <c r="BB53" s="262"/>
      <c r="BC53" s="262"/>
      <c r="BD53" s="262"/>
      <c r="BE53" s="262"/>
      <c r="BF53" s="262"/>
      <c r="BG53" s="262"/>
      <c r="BH53" s="262"/>
      <c r="BI53" s="262"/>
      <c r="BJ53" s="262"/>
      <c r="BK53" s="262"/>
      <c r="BL53" s="262"/>
      <c r="BM53" s="262"/>
      <c r="BN53" s="262"/>
      <c r="BO53" s="262"/>
      <c r="BP53" s="262"/>
      <c r="BQ53" s="262"/>
      <c r="BR53" s="262"/>
      <c r="BS53" s="262"/>
      <c r="BT53" s="262"/>
      <c r="BU53" s="262"/>
      <c r="BV53" s="262"/>
      <c r="BW53" s="262"/>
      <c r="BX53" s="262"/>
      <c r="BY53" s="262"/>
      <c r="BZ53" s="262"/>
      <c r="CA53" s="262"/>
      <c r="CB53" s="262"/>
      <c r="CC53" s="262"/>
      <c r="CD53" s="262"/>
      <c r="CE53" s="262"/>
      <c r="CF53" s="262"/>
      <c r="CG53" s="262"/>
      <c r="CH53" s="262"/>
      <c r="CI53" s="262"/>
      <c r="CJ53" s="262"/>
      <c r="CK53" s="262"/>
      <c r="CL53" s="262"/>
      <c r="CM53" s="262"/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2"/>
      <c r="CY53" s="262"/>
      <c r="CZ53" s="262"/>
      <c r="DA53" s="262"/>
      <c r="DB53" s="262"/>
      <c r="DC53" s="262"/>
      <c r="DD53" s="262"/>
      <c r="DE53" s="262"/>
      <c r="DF53" s="262"/>
      <c r="DG53" s="262"/>
      <c r="DH53" s="262"/>
      <c r="DI53" s="262"/>
      <c r="DJ53" s="262"/>
      <c r="DK53" s="262"/>
      <c r="DL53" s="262"/>
      <c r="DM53" s="262"/>
      <c r="DN53" s="262"/>
      <c r="DO53" s="262"/>
      <c r="DP53" s="262"/>
      <c r="DQ53" s="262"/>
      <c r="DR53" s="262"/>
      <c r="DS53" s="262"/>
      <c r="DT53" s="262"/>
      <c r="DU53" s="262"/>
      <c r="DV53" s="262"/>
      <c r="DW53" s="262"/>
      <c r="DX53" s="262"/>
      <c r="DY53" s="262"/>
      <c r="DZ53" s="262"/>
      <c r="EA53" s="262"/>
      <c r="EB53" s="262"/>
      <c r="EC53" s="262"/>
      <c r="ED53" s="262"/>
      <c r="EE53" s="262"/>
      <c r="EF53" s="262"/>
      <c r="EG53" s="262"/>
      <c r="EH53" s="262"/>
      <c r="EI53" s="262"/>
      <c r="EJ53" s="262"/>
      <c r="EK53" s="262"/>
      <c r="EL53" s="262"/>
      <c r="EM53" s="262"/>
      <c r="EN53" s="262"/>
      <c r="EO53" s="262"/>
      <c r="EP53" s="262"/>
      <c r="EQ53" s="262"/>
      <c r="ER53" s="262"/>
      <c r="ES53" s="262"/>
      <c r="ET53" s="262"/>
      <c r="EU53" s="262"/>
      <c r="EV53" s="262"/>
      <c r="EW53" s="262"/>
      <c r="EX53" s="262"/>
      <c r="EY53" s="262"/>
      <c r="EZ53" s="262"/>
      <c r="FA53" s="262"/>
      <c r="FB53" s="262"/>
      <c r="FC53" s="262"/>
      <c r="FD53" s="262"/>
      <c r="FE53" s="262"/>
      <c r="FF53" s="262"/>
      <c r="FG53" s="262"/>
      <c r="FH53" s="262"/>
      <c r="FI53" s="262"/>
      <c r="FJ53" s="262"/>
      <c r="FK53" s="262"/>
      <c r="FL53" s="262"/>
      <c r="FM53" s="262"/>
      <c r="FN53" s="262"/>
      <c r="FO53" s="262"/>
      <c r="FP53" s="262"/>
      <c r="FQ53" s="262"/>
      <c r="FR53" s="262"/>
      <c r="FS53" s="262"/>
      <c r="FT53" s="262"/>
      <c r="FU53" s="262"/>
      <c r="FV53" s="262"/>
      <c r="FW53" s="262"/>
      <c r="FX53" s="262"/>
      <c r="FY53" s="262"/>
      <c r="FZ53" s="262"/>
      <c r="GA53" s="262"/>
      <c r="GB53" s="262"/>
      <c r="GC53" s="262"/>
      <c r="GD53" s="262"/>
      <c r="GE53" s="262"/>
      <c r="GF53" s="262"/>
      <c r="GG53" s="262"/>
      <c r="GH53" s="262"/>
      <c r="GI53" s="262"/>
      <c r="GJ53" s="262"/>
      <c r="GK53" s="262"/>
      <c r="GL53" s="262"/>
      <c r="GM53" s="262"/>
      <c r="GN53" s="262"/>
    </row>
    <row r="54" spans="1:196" ht="15" x14ac:dyDescent="0.25">
      <c r="A54" s="52" t="str">
        <f>IF(COUNTBLANK(B54)=1," ",COUNTA($B$12:B54))</f>
        <v xml:space="preserve"> </v>
      </c>
      <c r="B54" s="286"/>
      <c r="C54" s="283" t="s">
        <v>21</v>
      </c>
      <c r="D54" s="283"/>
      <c r="E54" s="283"/>
      <c r="F54" s="283"/>
      <c r="G54" s="743" t="s">
        <v>32</v>
      </c>
      <c r="H54" s="274">
        <f>ROUNDUP(H50*I54,0)</f>
        <v>165</v>
      </c>
      <c r="I54" s="274">
        <v>2.5</v>
      </c>
      <c r="J54" s="506"/>
      <c r="K54" s="506"/>
      <c r="L54" s="506"/>
      <c r="M54" s="211"/>
      <c r="N54" s="506"/>
      <c r="O54" s="314"/>
      <c r="P54" s="315"/>
      <c r="Q54" s="315"/>
      <c r="R54" s="315"/>
      <c r="S54" s="315"/>
      <c r="T54" s="315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2"/>
      <c r="AU54" s="262"/>
      <c r="AV54" s="262"/>
      <c r="AW54" s="262"/>
      <c r="AX54" s="262"/>
      <c r="AY54" s="262"/>
      <c r="AZ54" s="262"/>
      <c r="BA54" s="262"/>
      <c r="BB54" s="262"/>
      <c r="BC54" s="262"/>
      <c r="BD54" s="262"/>
      <c r="BE54" s="262"/>
      <c r="BF54" s="262"/>
      <c r="BG54" s="262"/>
      <c r="BH54" s="262"/>
      <c r="BI54" s="262"/>
      <c r="BJ54" s="262"/>
      <c r="BK54" s="262"/>
      <c r="BL54" s="262"/>
      <c r="BM54" s="262"/>
      <c r="BN54" s="262"/>
      <c r="BO54" s="262"/>
      <c r="BP54" s="262"/>
      <c r="BQ54" s="262"/>
      <c r="BR54" s="262"/>
      <c r="BS54" s="262"/>
      <c r="BT54" s="262"/>
      <c r="BU54" s="262"/>
      <c r="BV54" s="262"/>
      <c r="BW54" s="262"/>
      <c r="BX54" s="262"/>
      <c r="BY54" s="262"/>
      <c r="BZ54" s="262"/>
      <c r="CA54" s="262"/>
      <c r="CB54" s="262"/>
      <c r="CC54" s="262"/>
      <c r="CD54" s="262"/>
      <c r="CE54" s="262"/>
      <c r="CF54" s="262"/>
      <c r="CG54" s="262"/>
      <c r="CH54" s="262"/>
      <c r="CI54" s="262"/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62"/>
      <c r="CU54" s="262"/>
      <c r="CV54" s="262"/>
      <c r="CW54" s="262"/>
      <c r="CX54" s="262"/>
      <c r="CY54" s="262"/>
      <c r="CZ54" s="262"/>
      <c r="DA54" s="262"/>
      <c r="DB54" s="262"/>
      <c r="DC54" s="262"/>
      <c r="DD54" s="262"/>
      <c r="DE54" s="262"/>
      <c r="DF54" s="262"/>
      <c r="DG54" s="262"/>
      <c r="DH54" s="262"/>
      <c r="DI54" s="262"/>
      <c r="DJ54" s="262"/>
      <c r="DK54" s="262"/>
      <c r="DL54" s="262"/>
      <c r="DM54" s="262"/>
      <c r="DN54" s="262"/>
      <c r="DO54" s="262"/>
      <c r="DP54" s="262"/>
      <c r="DQ54" s="262"/>
      <c r="DR54" s="262"/>
      <c r="DS54" s="262"/>
      <c r="DT54" s="262"/>
      <c r="DU54" s="262"/>
      <c r="DV54" s="262"/>
      <c r="DW54" s="262"/>
      <c r="DX54" s="262"/>
      <c r="DY54" s="262"/>
      <c r="DZ54" s="262"/>
      <c r="EA54" s="262"/>
      <c r="EB54" s="262"/>
      <c r="EC54" s="262"/>
      <c r="ED54" s="262"/>
      <c r="EE54" s="262"/>
      <c r="EF54" s="262"/>
      <c r="EG54" s="262"/>
      <c r="EH54" s="262"/>
      <c r="EI54" s="262"/>
      <c r="EJ54" s="262"/>
      <c r="EK54" s="262"/>
      <c r="EL54" s="262"/>
      <c r="EM54" s="262"/>
      <c r="EN54" s="262"/>
      <c r="EO54" s="262"/>
      <c r="EP54" s="262"/>
      <c r="EQ54" s="262"/>
      <c r="ER54" s="262"/>
      <c r="ES54" s="262"/>
      <c r="ET54" s="262"/>
      <c r="EU54" s="262"/>
      <c r="EV54" s="262"/>
      <c r="EW54" s="262"/>
      <c r="EX54" s="262"/>
      <c r="EY54" s="262"/>
      <c r="EZ54" s="262"/>
      <c r="FA54" s="262"/>
      <c r="FB54" s="262"/>
      <c r="FC54" s="262"/>
      <c r="FD54" s="262"/>
      <c r="FE54" s="262"/>
      <c r="FF54" s="262"/>
      <c r="FG54" s="262"/>
      <c r="FH54" s="262"/>
      <c r="FI54" s="262"/>
      <c r="FJ54" s="262"/>
      <c r="FK54" s="262"/>
      <c r="FL54" s="262"/>
      <c r="FM54" s="262"/>
      <c r="FN54" s="262"/>
      <c r="FO54" s="262"/>
      <c r="FP54" s="262"/>
      <c r="FQ54" s="262"/>
      <c r="FR54" s="262"/>
      <c r="FS54" s="262"/>
      <c r="FT54" s="262"/>
      <c r="FU54" s="262"/>
      <c r="FV54" s="262"/>
      <c r="FW54" s="262"/>
      <c r="FX54" s="262"/>
      <c r="FY54" s="262"/>
      <c r="FZ54" s="262"/>
      <c r="GA54" s="262"/>
      <c r="GB54" s="262"/>
      <c r="GC54" s="262"/>
      <c r="GD54" s="262"/>
      <c r="GE54" s="262"/>
      <c r="GF54" s="262"/>
      <c r="GG54" s="262"/>
      <c r="GH54" s="262"/>
      <c r="GI54" s="262"/>
      <c r="GJ54" s="262"/>
      <c r="GK54" s="262"/>
      <c r="GL54" s="262"/>
      <c r="GM54" s="262"/>
      <c r="GN54" s="262"/>
    </row>
    <row r="55" spans="1:196" ht="15" x14ac:dyDescent="0.25">
      <c r="A55" s="52" t="str">
        <f>IF(COUNTBLANK(B55)=1," ",COUNTA($B$12:B55))</f>
        <v xml:space="preserve"> </v>
      </c>
      <c r="B55" s="286"/>
      <c r="C55" s="283" t="s">
        <v>213</v>
      </c>
      <c r="D55" s="283"/>
      <c r="E55" s="283"/>
      <c r="F55" s="283"/>
      <c r="G55" s="264" t="s">
        <v>52</v>
      </c>
      <c r="H55" s="274">
        <f>ROUNDUP(H50*I55,2)</f>
        <v>16.470000000000002</v>
      </c>
      <c r="I55" s="274">
        <v>0.25</v>
      </c>
      <c r="J55" s="506"/>
      <c r="K55" s="506"/>
      <c r="L55" s="506"/>
      <c r="M55" s="211"/>
      <c r="N55" s="506"/>
      <c r="O55" s="314"/>
      <c r="P55" s="315"/>
      <c r="Q55" s="315"/>
      <c r="R55" s="315"/>
      <c r="S55" s="315"/>
      <c r="T55" s="315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  <c r="BM55" s="262"/>
      <c r="BN55" s="262"/>
      <c r="BO55" s="262"/>
      <c r="BP55" s="262"/>
      <c r="BQ55" s="262"/>
      <c r="BR55" s="262"/>
      <c r="BS55" s="262"/>
      <c r="BT55" s="262"/>
      <c r="BU55" s="262"/>
      <c r="BV55" s="262"/>
      <c r="BW55" s="262"/>
      <c r="BX55" s="262"/>
      <c r="BY55" s="262"/>
      <c r="BZ55" s="262"/>
      <c r="CA55" s="262"/>
      <c r="CB55" s="262"/>
      <c r="CC55" s="262"/>
      <c r="CD55" s="262"/>
      <c r="CE55" s="262"/>
      <c r="CF55" s="262"/>
      <c r="CG55" s="262"/>
      <c r="CH55" s="262"/>
      <c r="CI55" s="262"/>
      <c r="CJ55" s="262"/>
      <c r="CK55" s="262"/>
      <c r="CL55" s="262"/>
      <c r="CM55" s="262"/>
      <c r="CN55" s="262"/>
      <c r="CO55" s="262"/>
      <c r="CP55" s="262"/>
      <c r="CQ55" s="262"/>
      <c r="CR55" s="262"/>
      <c r="CS55" s="262"/>
      <c r="CT55" s="262"/>
      <c r="CU55" s="262"/>
      <c r="CV55" s="262"/>
      <c r="CW55" s="262"/>
      <c r="CX55" s="262"/>
      <c r="CY55" s="262"/>
      <c r="CZ55" s="262"/>
      <c r="DA55" s="262"/>
      <c r="DB55" s="262"/>
      <c r="DC55" s="262"/>
      <c r="DD55" s="262"/>
      <c r="DE55" s="262"/>
      <c r="DF55" s="262"/>
      <c r="DG55" s="262"/>
      <c r="DH55" s="262"/>
      <c r="DI55" s="262"/>
      <c r="DJ55" s="262"/>
      <c r="DK55" s="262"/>
      <c r="DL55" s="262"/>
      <c r="DM55" s="262"/>
      <c r="DN55" s="262"/>
      <c r="DO55" s="262"/>
      <c r="DP55" s="262"/>
      <c r="DQ55" s="262"/>
      <c r="DR55" s="262"/>
      <c r="DS55" s="262"/>
      <c r="DT55" s="262"/>
      <c r="DU55" s="262"/>
      <c r="DV55" s="262"/>
      <c r="DW55" s="262"/>
      <c r="DX55" s="262"/>
      <c r="DY55" s="262"/>
      <c r="DZ55" s="262"/>
      <c r="EA55" s="262"/>
      <c r="EB55" s="262"/>
      <c r="EC55" s="262"/>
      <c r="ED55" s="262"/>
      <c r="EE55" s="262"/>
      <c r="EF55" s="262"/>
      <c r="EG55" s="262"/>
      <c r="EH55" s="262"/>
      <c r="EI55" s="262"/>
      <c r="EJ55" s="262"/>
      <c r="EK55" s="262"/>
      <c r="EL55" s="262"/>
      <c r="EM55" s="262"/>
      <c r="EN55" s="262"/>
      <c r="EO55" s="262"/>
      <c r="EP55" s="262"/>
      <c r="EQ55" s="262"/>
      <c r="ER55" s="262"/>
      <c r="ES55" s="262"/>
      <c r="ET55" s="262"/>
      <c r="EU55" s="262"/>
      <c r="EV55" s="262"/>
      <c r="EW55" s="262"/>
      <c r="EX55" s="262"/>
      <c r="EY55" s="262"/>
      <c r="EZ55" s="262"/>
      <c r="FA55" s="262"/>
      <c r="FB55" s="262"/>
      <c r="FC55" s="262"/>
      <c r="FD55" s="262"/>
      <c r="FE55" s="262"/>
      <c r="FF55" s="262"/>
      <c r="FG55" s="262"/>
      <c r="FH55" s="262"/>
      <c r="FI55" s="262"/>
      <c r="FJ55" s="262"/>
      <c r="FK55" s="262"/>
      <c r="FL55" s="262"/>
      <c r="FM55" s="262"/>
      <c r="FN55" s="262"/>
      <c r="FO55" s="262"/>
      <c r="FP55" s="262"/>
      <c r="FQ55" s="262"/>
      <c r="FR55" s="262"/>
      <c r="FS55" s="262"/>
      <c r="FT55" s="262"/>
      <c r="FU55" s="262"/>
      <c r="FV55" s="262"/>
      <c r="FW55" s="262"/>
      <c r="FX55" s="262"/>
      <c r="FY55" s="262"/>
      <c r="FZ55" s="262"/>
      <c r="GA55" s="262"/>
      <c r="GB55" s="262"/>
      <c r="GC55" s="262"/>
      <c r="GD55" s="262"/>
      <c r="GE55" s="262"/>
      <c r="GF55" s="262"/>
      <c r="GG55" s="262"/>
      <c r="GH55" s="262"/>
      <c r="GI55" s="262"/>
      <c r="GJ55" s="262"/>
      <c r="GK55" s="262"/>
      <c r="GL55" s="262"/>
      <c r="GM55" s="262"/>
      <c r="GN55" s="262"/>
    </row>
    <row r="56" spans="1:196" x14ac:dyDescent="0.25">
      <c r="A56" s="52">
        <f>IF(COUNTBLANK(B56)=1," ",COUNTA($B$12:B56))</f>
        <v>30</v>
      </c>
      <c r="B56" s="13" t="s">
        <v>14</v>
      </c>
      <c r="C56" s="222" t="s">
        <v>191</v>
      </c>
      <c r="D56" s="57"/>
      <c r="E56" s="57"/>
      <c r="F56" s="57"/>
      <c r="G56" s="57"/>
      <c r="H56" s="86"/>
      <c r="I56" s="34"/>
      <c r="J56" s="34"/>
      <c r="K56" s="271"/>
      <c r="L56" s="34"/>
      <c r="M56" s="55"/>
      <c r="N56" s="34"/>
      <c r="O56" s="314"/>
      <c r="P56" s="315"/>
      <c r="Q56" s="315"/>
      <c r="R56" s="315"/>
      <c r="S56" s="315"/>
      <c r="T56" s="315"/>
    </row>
    <row r="57" spans="1:196" x14ac:dyDescent="0.25">
      <c r="A57" s="52">
        <f>IF(COUNTBLANK(B57)=1," ",COUNTA($B$12:B57))</f>
        <v>31</v>
      </c>
      <c r="B57" s="13" t="s">
        <v>14</v>
      </c>
      <c r="C57" s="222" t="str">
        <f>apjom!B30</f>
        <v>garenfasādēs aiz lodžiju stiklojuma R1</v>
      </c>
      <c r="D57" s="57">
        <f>apjom!E30</f>
        <v>45</v>
      </c>
      <c r="E57" s="57">
        <f>apjom!F30</f>
        <v>0.14000000000000001</v>
      </c>
      <c r="F57" s="57">
        <f>apjom!G30</f>
        <v>0.14000000000000001</v>
      </c>
      <c r="G57" s="57" t="s">
        <v>17</v>
      </c>
      <c r="H57" s="34">
        <f>apjom!J30</f>
        <v>0.88200000000000012</v>
      </c>
      <c r="I57" s="34"/>
      <c r="J57" s="421"/>
      <c r="K57" s="499"/>
      <c r="L57" s="421"/>
      <c r="M57" s="505"/>
      <c r="N57" s="421"/>
      <c r="O57" s="314"/>
      <c r="P57" s="315"/>
      <c r="Q57" s="315"/>
      <c r="R57" s="315"/>
      <c r="S57" s="315"/>
      <c r="T57" s="315"/>
    </row>
    <row r="58" spans="1:196" x14ac:dyDescent="0.25">
      <c r="A58" s="52">
        <f>IF(COUNTBLANK(B58)=1," ",COUNTA($B$12:B58))</f>
        <v>32</v>
      </c>
      <c r="B58" s="13" t="s">
        <v>14</v>
      </c>
      <c r="C58" s="222" t="str">
        <f>apjom!B31</f>
        <v>sendvičapneļos R2</v>
      </c>
      <c r="D58" s="57">
        <f>apjom!E31</f>
        <v>45</v>
      </c>
      <c r="E58" s="57">
        <f>apjom!F31</f>
        <v>0.14000000000000001</v>
      </c>
      <c r="F58" s="57">
        <f>apjom!G31</f>
        <v>0.14000000000000001</v>
      </c>
      <c r="G58" s="57" t="s">
        <v>17</v>
      </c>
      <c r="H58" s="34">
        <f>apjom!J31</f>
        <v>0.88200000000000012</v>
      </c>
      <c r="I58" s="34"/>
      <c r="J58" s="421"/>
      <c r="K58" s="499"/>
      <c r="L58" s="421"/>
      <c r="M58" s="505"/>
      <c r="N58" s="421"/>
      <c r="O58" s="314"/>
      <c r="P58" s="315"/>
      <c r="Q58" s="315"/>
      <c r="R58" s="315"/>
      <c r="S58" s="315"/>
      <c r="T58" s="315"/>
    </row>
    <row r="59" spans="1:196" x14ac:dyDescent="0.25">
      <c r="A59" s="52">
        <f>IF(COUNTBLANK(B59)=1," ",COUNTA($B$12:B59))</f>
        <v>33</v>
      </c>
      <c r="B59" s="13" t="s">
        <v>14</v>
      </c>
      <c r="C59" s="222" t="str">
        <f>apjom!B32</f>
        <v>garenfasādēs R3</v>
      </c>
      <c r="D59" s="57">
        <f>apjom!E32</f>
        <v>13</v>
      </c>
      <c r="E59" s="57">
        <f>apjom!F32</f>
        <v>0.14000000000000001</v>
      </c>
      <c r="F59" s="57">
        <f>apjom!G32</f>
        <v>0.14000000000000001</v>
      </c>
      <c r="G59" s="57" t="s">
        <v>17</v>
      </c>
      <c r="H59" s="34">
        <f>apjom!J32</f>
        <v>0.25480000000000003</v>
      </c>
      <c r="I59" s="34"/>
      <c r="J59" s="421"/>
      <c r="K59" s="499"/>
      <c r="L59" s="421"/>
      <c r="M59" s="505"/>
      <c r="N59" s="421"/>
      <c r="O59" s="314"/>
      <c r="P59" s="315"/>
      <c r="Q59" s="315"/>
      <c r="R59" s="315"/>
      <c r="S59" s="315"/>
      <c r="T59" s="315"/>
    </row>
    <row r="60" spans="1:196" x14ac:dyDescent="0.25">
      <c r="A60" s="52">
        <f>IF(COUNTBLANK(B60)=1," ",COUNTA($B$12:B60))</f>
        <v>34</v>
      </c>
      <c r="B60" s="13" t="s">
        <v>14</v>
      </c>
      <c r="C60" s="222" t="str">
        <f>apjom!B33</f>
        <v>pagrabā R4</v>
      </c>
      <c r="D60" s="57">
        <f>apjom!E33</f>
        <v>36</v>
      </c>
      <c r="E60" s="57">
        <f>apjom!F33</f>
        <v>0.14000000000000001</v>
      </c>
      <c r="F60" s="57">
        <f>apjom!G33</f>
        <v>0.14000000000000001</v>
      </c>
      <c r="G60" s="57" t="s">
        <v>17</v>
      </c>
      <c r="H60" s="34">
        <f>apjom!J33</f>
        <v>0.70560000000000012</v>
      </c>
      <c r="I60" s="34"/>
      <c r="J60" s="421"/>
      <c r="K60" s="499"/>
      <c r="L60" s="421"/>
      <c r="M60" s="505"/>
      <c r="N60" s="421"/>
      <c r="O60" s="314"/>
      <c r="P60" s="315"/>
      <c r="Q60" s="315"/>
      <c r="R60" s="315"/>
      <c r="S60" s="315"/>
      <c r="T60" s="315"/>
    </row>
    <row r="61" spans="1:196" ht="33.75" x14ac:dyDescent="0.25">
      <c r="A61" s="52">
        <f>IF(COUNTBLANK(B61)=1," ",COUNTA($B$12:B61))</f>
        <v>35</v>
      </c>
      <c r="B61" s="13" t="s">
        <v>14</v>
      </c>
      <c r="C61" s="222" t="str">
        <f>apjom!B34</f>
        <v>Cinkota metāla žalūzija bēniņos komplektā ar montāžas rāmi.
malas veidotas ar lāseni R5</v>
      </c>
      <c r="D61" s="57">
        <f>apjom!E34</f>
        <v>8</v>
      </c>
      <c r="E61" s="57">
        <f>apjom!F34</f>
        <v>2.2000000000000002</v>
      </c>
      <c r="F61" s="57">
        <f>apjom!G34</f>
        <v>0.6</v>
      </c>
      <c r="G61" s="57" t="s">
        <v>17</v>
      </c>
      <c r="H61" s="34">
        <f>apjom!J34</f>
        <v>10.56</v>
      </c>
      <c r="I61" s="34"/>
      <c r="J61" s="421"/>
      <c r="K61" s="499"/>
      <c r="L61" s="421"/>
      <c r="M61" s="505"/>
      <c r="N61" s="421"/>
      <c r="O61" s="314"/>
      <c r="P61" s="315"/>
      <c r="Q61" s="315"/>
      <c r="R61" s="315"/>
      <c r="S61" s="315"/>
      <c r="T61" s="315"/>
    </row>
    <row r="62" spans="1:196" x14ac:dyDescent="0.25">
      <c r="A62" s="52">
        <f>IF(COUNTBLANK(B62)=1," ",COUNTA($B$12:B62))</f>
        <v>36</v>
      </c>
      <c r="B62" s="13" t="s">
        <v>14</v>
      </c>
      <c r="C62" s="222" t="str">
        <f>apjom!B35</f>
        <v>Cinkota metāla žalūzija bēniņos R6</v>
      </c>
      <c r="D62" s="57">
        <f>apjom!E35</f>
        <v>8</v>
      </c>
      <c r="E62" s="57">
        <f>apjom!F35</f>
        <v>1.2</v>
      </c>
      <c r="F62" s="57">
        <f>apjom!G35</f>
        <v>0.4</v>
      </c>
      <c r="G62" s="57" t="s">
        <v>17</v>
      </c>
      <c r="H62" s="34">
        <f>apjom!J35</f>
        <v>3.84</v>
      </c>
      <c r="I62" s="34"/>
      <c r="J62" s="421"/>
      <c r="K62" s="499"/>
      <c r="L62" s="421"/>
      <c r="M62" s="505"/>
      <c r="N62" s="421"/>
      <c r="O62" s="314"/>
      <c r="P62" s="315"/>
      <c r="Q62" s="315"/>
      <c r="R62" s="315"/>
      <c r="S62" s="315"/>
      <c r="T62" s="315"/>
    </row>
    <row r="63" spans="1:196" ht="22.5" x14ac:dyDescent="0.25">
      <c r="A63" s="52">
        <f>IF(COUNTBLANK(B63)=1," ",COUNTA($B$12:B63))</f>
        <v>37</v>
      </c>
      <c r="B63" s="13" t="s">
        <v>14</v>
      </c>
      <c r="C63" s="222" t="s">
        <v>876</v>
      </c>
      <c r="D63" s="57"/>
      <c r="E63" s="57"/>
      <c r="F63" s="57"/>
      <c r="G63" s="57" t="s">
        <v>32</v>
      </c>
      <c r="H63" s="86">
        <f>apjom!E17+apjom!E22+apjom!E20+apjom!E21</f>
        <v>386</v>
      </c>
      <c r="I63" s="34"/>
      <c r="J63" s="18"/>
      <c r="K63" s="701"/>
      <c r="L63" s="18"/>
      <c r="M63" s="702"/>
      <c r="N63" s="18"/>
      <c r="O63" s="314"/>
      <c r="P63" s="315"/>
      <c r="Q63" s="315"/>
      <c r="R63" s="315"/>
      <c r="S63" s="315"/>
      <c r="T63" s="315"/>
    </row>
    <row r="64" spans="1:196" ht="22.5" x14ac:dyDescent="0.25">
      <c r="A64" s="52"/>
      <c r="B64" s="13"/>
      <c r="C64" s="222" t="s">
        <v>716</v>
      </c>
      <c r="D64" s="57"/>
      <c r="E64" s="57"/>
      <c r="F64" s="57"/>
      <c r="H64" s="86"/>
      <c r="I64" s="34"/>
      <c r="J64" s="34"/>
      <c r="K64" s="271"/>
      <c r="L64" s="34"/>
      <c r="M64" s="34"/>
      <c r="N64" s="34"/>
      <c r="O64" s="314"/>
      <c r="P64" s="315"/>
      <c r="Q64" s="315"/>
      <c r="R64" s="315"/>
      <c r="S64" s="315"/>
      <c r="T64" s="315"/>
    </row>
    <row r="65" spans="1:196" ht="22.5" x14ac:dyDescent="0.25">
      <c r="A65" s="52">
        <f>IF(COUNTBLANK(B65)=1," ",COUNTA($B$12:B65))</f>
        <v>38</v>
      </c>
      <c r="B65" s="13" t="s">
        <v>14</v>
      </c>
      <c r="C65" s="222" t="str">
        <f>apjom!B38</f>
        <v>M1 - Lodžiju margu- sendviča tipa paneļu tonis RAL 9007</v>
      </c>
      <c r="D65" s="57">
        <f>apjom!E38</f>
        <v>39</v>
      </c>
      <c r="E65" s="57">
        <f>apjom!F38</f>
        <v>6.24</v>
      </c>
      <c r="F65" s="57">
        <f>apjom!G38</f>
        <v>1.1000000000000001</v>
      </c>
      <c r="G65" s="57" t="s">
        <v>17</v>
      </c>
      <c r="H65" s="34">
        <f>apjom!J38</f>
        <v>267.69600000000003</v>
      </c>
      <c r="I65" s="34"/>
      <c r="J65" s="421"/>
      <c r="K65" s="499"/>
      <c r="L65" s="421"/>
      <c r="M65" s="505"/>
      <c r="N65" s="421"/>
      <c r="O65" s="314"/>
      <c r="P65" s="315"/>
      <c r="Q65" s="315"/>
      <c r="R65" s="315"/>
      <c r="S65" s="315"/>
      <c r="T65" s="315"/>
    </row>
    <row r="66" spans="1:196" ht="22.5" x14ac:dyDescent="0.25">
      <c r="A66" s="52">
        <f>IF(COUNTBLANK(B66)=1," ",COUNTA($B$12:B66))</f>
        <v>39</v>
      </c>
      <c r="B66" s="13" t="s">
        <v>14</v>
      </c>
      <c r="C66" s="222" t="str">
        <f>apjom!B39</f>
        <v>M2 - Lodžiju margu- sendviča tipa paneļu tonis RAL 9008</v>
      </c>
      <c r="D66" s="57">
        <f>apjom!E39</f>
        <v>12</v>
      </c>
      <c r="E66" s="57">
        <f>apjom!F39</f>
        <v>3.04</v>
      </c>
      <c r="F66" s="57">
        <f>apjom!G39</f>
        <v>1.1000000000000001</v>
      </c>
      <c r="G66" s="57" t="s">
        <v>17</v>
      </c>
      <c r="H66" s="34">
        <f>apjom!J39</f>
        <v>40.128</v>
      </c>
      <c r="I66" s="34"/>
      <c r="J66" s="421"/>
      <c r="K66" s="499"/>
      <c r="L66" s="421"/>
      <c r="M66" s="505"/>
      <c r="N66" s="421"/>
      <c r="O66" s="314"/>
      <c r="P66" s="315"/>
      <c r="Q66" s="315"/>
      <c r="R66" s="315"/>
      <c r="S66" s="315"/>
      <c r="T66" s="315"/>
    </row>
    <row r="67" spans="1:196" ht="22.5" x14ac:dyDescent="0.25">
      <c r="A67" s="52">
        <f>IF(COUNTBLANK(B67)=1," ",COUNTA($B$12:B67))</f>
        <v>40</v>
      </c>
      <c r="B67" s="13" t="s">
        <v>14</v>
      </c>
      <c r="C67" s="222" t="str">
        <f>apjom!B40</f>
        <v>M3 - Lodžiju margu- sendviča tipa paneļu tonis RAL 7016</v>
      </c>
      <c r="D67" s="57">
        <f>apjom!E40</f>
        <v>28</v>
      </c>
      <c r="E67" s="57">
        <f>apjom!F40</f>
        <v>6.24</v>
      </c>
      <c r="F67" s="57">
        <f>apjom!G40</f>
        <v>1.1000000000000001</v>
      </c>
      <c r="G67" s="57" t="s">
        <v>17</v>
      </c>
      <c r="H67" s="34">
        <f>apjom!J40</f>
        <v>192.19200000000001</v>
      </c>
      <c r="I67" s="34"/>
      <c r="J67" s="421"/>
      <c r="K67" s="499"/>
      <c r="L67" s="421"/>
      <c r="M67" s="505"/>
      <c r="N67" s="421"/>
      <c r="O67" s="314"/>
      <c r="P67" s="315"/>
      <c r="Q67" s="315"/>
      <c r="R67" s="315"/>
      <c r="S67" s="315"/>
      <c r="T67" s="315"/>
    </row>
    <row r="68" spans="1:196" ht="22.5" x14ac:dyDescent="0.25">
      <c r="A68" s="52">
        <f>IF(COUNTBLANK(B68)=1," ",COUNTA($B$12:B68))</f>
        <v>41</v>
      </c>
      <c r="B68" s="13" t="s">
        <v>14</v>
      </c>
      <c r="C68" s="222" t="str">
        <f>apjom!B41</f>
        <v>M4 - Lodžiju margu- sendviča tipa paneļu t tonis RAL 7017</v>
      </c>
      <c r="D68" s="57">
        <f>apjom!E41</f>
        <v>10</v>
      </c>
      <c r="E68" s="57">
        <f>apjom!F41</f>
        <v>3.04</v>
      </c>
      <c r="F68" s="57">
        <f>apjom!G41</f>
        <v>1.1000000000000001</v>
      </c>
      <c r="G68" s="57" t="s">
        <v>17</v>
      </c>
      <c r="H68" s="34">
        <f>apjom!J41</f>
        <v>33.440000000000005</v>
      </c>
      <c r="I68" s="34"/>
      <c r="J68" s="421"/>
      <c r="K68" s="499"/>
      <c r="L68" s="421"/>
      <c r="M68" s="505"/>
      <c r="N68" s="421"/>
      <c r="O68" s="314"/>
      <c r="P68" s="315"/>
      <c r="Q68" s="315"/>
      <c r="R68" s="315"/>
      <c r="S68" s="315"/>
      <c r="T68" s="315"/>
    </row>
    <row r="69" spans="1:196" ht="15" x14ac:dyDescent="0.25">
      <c r="A69" s="52">
        <f>IF(COUNTBLANK(B69)=1," ",COUNTA($B$12:B69))</f>
        <v>42</v>
      </c>
      <c r="B69" s="280" t="s">
        <v>14</v>
      </c>
      <c r="C69" s="281" t="s">
        <v>770</v>
      </c>
      <c r="D69" s="281"/>
      <c r="E69" s="281"/>
      <c r="F69" s="281"/>
      <c r="G69" s="57" t="s">
        <v>17</v>
      </c>
      <c r="H69" s="273">
        <f>SUM(H65:H68)</f>
        <v>533.45600000000002</v>
      </c>
      <c r="I69" s="273"/>
      <c r="J69" s="499"/>
      <c r="K69" s="499"/>
      <c r="L69" s="499"/>
      <c r="M69" s="501"/>
      <c r="N69" s="499"/>
      <c r="O69" s="314"/>
      <c r="P69" s="315"/>
      <c r="Q69" s="315"/>
      <c r="R69" s="315"/>
      <c r="S69" s="315"/>
      <c r="T69" s="315"/>
      <c r="U69" s="262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2"/>
      <c r="AK69" s="262"/>
      <c r="AL69" s="262"/>
      <c r="AM69" s="262"/>
      <c r="AN69" s="262"/>
      <c r="AO69" s="262"/>
      <c r="AP69" s="262"/>
      <c r="AQ69" s="262"/>
      <c r="AR69" s="262"/>
      <c r="AS69" s="262"/>
      <c r="AT69" s="262"/>
      <c r="AU69" s="262"/>
      <c r="AV69" s="262"/>
      <c r="AW69" s="262"/>
      <c r="AX69" s="262"/>
      <c r="AY69" s="262"/>
      <c r="AZ69" s="262"/>
      <c r="BA69" s="262"/>
      <c r="BB69" s="262"/>
      <c r="BC69" s="262"/>
      <c r="BD69" s="262"/>
      <c r="BE69" s="262"/>
      <c r="BF69" s="262"/>
      <c r="BG69" s="262"/>
      <c r="BH69" s="262"/>
      <c r="BI69" s="262"/>
      <c r="BJ69" s="262"/>
      <c r="BK69" s="262"/>
      <c r="BL69" s="262"/>
      <c r="BM69" s="262"/>
      <c r="BN69" s="262"/>
      <c r="BO69" s="262"/>
      <c r="BP69" s="262"/>
      <c r="BQ69" s="262"/>
      <c r="BR69" s="262"/>
      <c r="BS69" s="262"/>
      <c r="BT69" s="262"/>
      <c r="BU69" s="262"/>
      <c r="BV69" s="262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262"/>
      <c r="CH69" s="262"/>
      <c r="CI69" s="262"/>
      <c r="CJ69" s="262"/>
      <c r="CK69" s="262"/>
      <c r="CL69" s="262"/>
      <c r="CM69" s="262"/>
      <c r="CN69" s="262"/>
      <c r="CO69" s="262"/>
      <c r="CP69" s="262"/>
      <c r="CQ69" s="262"/>
      <c r="CR69" s="262"/>
      <c r="CS69" s="262"/>
      <c r="CT69" s="262"/>
      <c r="CU69" s="262"/>
      <c r="CV69" s="262"/>
      <c r="CW69" s="262"/>
      <c r="CX69" s="262"/>
      <c r="CY69" s="262"/>
      <c r="CZ69" s="262"/>
      <c r="DA69" s="262"/>
      <c r="DB69" s="262"/>
      <c r="DC69" s="262"/>
      <c r="DD69" s="262"/>
      <c r="DE69" s="262"/>
      <c r="DF69" s="262"/>
      <c r="DG69" s="262"/>
      <c r="DH69" s="262"/>
      <c r="DI69" s="262"/>
      <c r="DJ69" s="262"/>
      <c r="DK69" s="262"/>
      <c r="DL69" s="262"/>
      <c r="DM69" s="262"/>
      <c r="DN69" s="262"/>
      <c r="DO69" s="262"/>
      <c r="DP69" s="262"/>
      <c r="DQ69" s="262"/>
      <c r="DR69" s="262"/>
      <c r="DS69" s="262"/>
      <c r="DT69" s="262"/>
      <c r="DU69" s="262"/>
      <c r="DV69" s="262"/>
      <c r="DW69" s="262"/>
      <c r="DX69" s="262"/>
      <c r="DY69" s="262"/>
      <c r="DZ69" s="262"/>
      <c r="EA69" s="262"/>
      <c r="EB69" s="262"/>
      <c r="EC69" s="262"/>
      <c r="ED69" s="262"/>
      <c r="EE69" s="262"/>
      <c r="EF69" s="262"/>
      <c r="EG69" s="262"/>
      <c r="EH69" s="262"/>
      <c r="EI69" s="262"/>
      <c r="EJ69" s="262"/>
      <c r="EK69" s="262"/>
      <c r="EL69" s="262"/>
      <c r="EM69" s="262"/>
      <c r="EN69" s="262"/>
      <c r="EO69" s="262"/>
      <c r="EP69" s="262"/>
      <c r="EQ69" s="262"/>
      <c r="ER69" s="262"/>
      <c r="ES69" s="262"/>
      <c r="ET69" s="262"/>
      <c r="EU69" s="262"/>
      <c r="EV69" s="262"/>
      <c r="EW69" s="262"/>
      <c r="EX69" s="262"/>
      <c r="EY69" s="262"/>
      <c r="EZ69" s="262"/>
      <c r="FA69" s="262"/>
      <c r="FB69" s="262"/>
      <c r="FC69" s="262"/>
      <c r="FD69" s="262"/>
      <c r="FE69" s="262"/>
      <c r="FF69" s="262"/>
      <c r="FG69" s="262"/>
      <c r="FH69" s="262"/>
      <c r="FI69" s="262"/>
      <c r="FJ69" s="262"/>
      <c r="FK69" s="262"/>
      <c r="FL69" s="262"/>
      <c r="FM69" s="262"/>
      <c r="FN69" s="262"/>
      <c r="FO69" s="262"/>
      <c r="FP69" s="262"/>
      <c r="FQ69" s="262"/>
      <c r="FR69" s="262"/>
      <c r="FS69" s="262"/>
      <c r="FT69" s="262"/>
      <c r="FU69" s="262"/>
      <c r="FV69" s="262"/>
      <c r="FW69" s="262"/>
      <c r="FX69" s="262"/>
      <c r="FY69" s="262"/>
      <c r="FZ69" s="262"/>
      <c r="GA69" s="262"/>
      <c r="GB69" s="262"/>
      <c r="GC69" s="262"/>
      <c r="GD69" s="262"/>
      <c r="GE69" s="262"/>
      <c r="GF69" s="262"/>
      <c r="GG69" s="262"/>
      <c r="GH69" s="262"/>
      <c r="GI69" s="262"/>
      <c r="GJ69" s="262"/>
      <c r="GK69" s="262"/>
      <c r="GL69" s="262"/>
      <c r="GM69" s="262"/>
      <c r="GN69" s="262"/>
    </row>
    <row r="70" spans="1:196" ht="15" x14ac:dyDescent="0.25">
      <c r="A70" s="52" t="str">
        <f>IF(COUNTBLANK(B70)=1," ",COUNTA($B$12:B70))</f>
        <v xml:space="preserve"> </v>
      </c>
      <c r="B70" s="264"/>
      <c r="C70" s="283" t="s">
        <v>18</v>
      </c>
      <c r="D70" s="284"/>
      <c r="E70" s="284"/>
      <c r="F70" s="284"/>
      <c r="G70" s="282" t="s">
        <v>32</v>
      </c>
      <c r="H70" s="273">
        <f>ROUNDUP(H69*I70,0)</f>
        <v>1387</v>
      </c>
      <c r="I70" s="273">
        <v>2.6</v>
      </c>
      <c r="J70" s="499"/>
      <c r="K70" s="499"/>
      <c r="L70" s="499"/>
      <c r="M70" s="499"/>
      <c r="N70" s="499"/>
      <c r="O70" s="314"/>
      <c r="P70" s="315"/>
      <c r="Q70" s="315"/>
      <c r="R70" s="315"/>
      <c r="S70" s="315"/>
      <c r="T70" s="315"/>
      <c r="U70" s="262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  <c r="AK70" s="262"/>
      <c r="AL70" s="262"/>
      <c r="AM70" s="262"/>
      <c r="AN70" s="262"/>
      <c r="AO70" s="262"/>
      <c r="AP70" s="262"/>
      <c r="AQ70" s="262"/>
      <c r="AR70" s="262"/>
      <c r="AS70" s="262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  <c r="BJ70" s="262"/>
      <c r="BK70" s="262"/>
      <c r="BL70" s="262"/>
      <c r="BM70" s="262"/>
      <c r="BN70" s="262"/>
      <c r="BO70" s="262"/>
      <c r="BP70" s="262"/>
      <c r="BQ70" s="262"/>
      <c r="BR70" s="262"/>
      <c r="BS70" s="262"/>
      <c r="BT70" s="262"/>
      <c r="BU70" s="262"/>
      <c r="BV70" s="262"/>
      <c r="BW70" s="262"/>
      <c r="BX70" s="262"/>
      <c r="BY70" s="262"/>
      <c r="BZ70" s="262"/>
      <c r="CA70" s="262"/>
      <c r="CB70" s="262"/>
      <c r="CC70" s="262"/>
      <c r="CD70" s="262"/>
      <c r="CE70" s="262"/>
      <c r="CF70" s="262"/>
      <c r="CG70" s="262"/>
      <c r="CH70" s="262"/>
      <c r="CI70" s="262"/>
      <c r="CJ70" s="262"/>
      <c r="CK70" s="262"/>
      <c r="CL70" s="262"/>
      <c r="CM70" s="262"/>
      <c r="CN70" s="262"/>
      <c r="CO70" s="262"/>
      <c r="CP70" s="262"/>
      <c r="CQ70" s="262"/>
      <c r="CR70" s="262"/>
      <c r="CS70" s="262"/>
      <c r="CT70" s="262"/>
      <c r="CU70" s="262"/>
      <c r="CV70" s="262"/>
      <c r="CW70" s="262"/>
      <c r="CX70" s="262"/>
      <c r="CY70" s="262"/>
      <c r="CZ70" s="262"/>
      <c r="DA70" s="262"/>
      <c r="DB70" s="262"/>
      <c r="DC70" s="262"/>
      <c r="DD70" s="262"/>
      <c r="DE70" s="262"/>
      <c r="DF70" s="262"/>
      <c r="DG70" s="262"/>
      <c r="DH70" s="262"/>
      <c r="DI70" s="262"/>
      <c r="DJ70" s="262"/>
      <c r="DK70" s="262"/>
      <c r="DL70" s="262"/>
      <c r="DM70" s="262"/>
      <c r="DN70" s="262"/>
      <c r="DO70" s="262"/>
      <c r="DP70" s="262"/>
      <c r="DQ70" s="262"/>
      <c r="DR70" s="262"/>
      <c r="DS70" s="262"/>
      <c r="DT70" s="262"/>
      <c r="DU70" s="262"/>
      <c r="DV70" s="262"/>
      <c r="DW70" s="262"/>
      <c r="DX70" s="262"/>
      <c r="DY70" s="262"/>
      <c r="DZ70" s="262"/>
      <c r="EA70" s="262"/>
      <c r="EB70" s="262"/>
      <c r="EC70" s="262"/>
      <c r="ED70" s="262"/>
      <c r="EE70" s="262"/>
      <c r="EF70" s="262"/>
      <c r="EG70" s="262"/>
      <c r="EH70" s="262"/>
      <c r="EI70" s="262"/>
      <c r="EJ70" s="262"/>
      <c r="EK70" s="262"/>
      <c r="EL70" s="262"/>
      <c r="EM70" s="262"/>
      <c r="EN70" s="262"/>
      <c r="EO70" s="262"/>
      <c r="EP70" s="262"/>
      <c r="EQ70" s="262"/>
      <c r="ER70" s="262"/>
      <c r="ES70" s="262"/>
      <c r="ET70" s="262"/>
      <c r="EU70" s="262"/>
      <c r="EV70" s="262"/>
      <c r="EW70" s="262"/>
      <c r="EX70" s="262"/>
      <c r="EY70" s="262"/>
      <c r="EZ70" s="262"/>
      <c r="FA70" s="262"/>
      <c r="FB70" s="262"/>
      <c r="FC70" s="262"/>
      <c r="FD70" s="262"/>
      <c r="FE70" s="262"/>
      <c r="FF70" s="262"/>
      <c r="FG70" s="262"/>
      <c r="FH70" s="262"/>
      <c r="FI70" s="262"/>
      <c r="FJ70" s="262"/>
      <c r="FK70" s="262"/>
      <c r="FL70" s="262"/>
      <c r="FM70" s="262"/>
      <c r="FN70" s="262"/>
      <c r="FO70" s="262"/>
      <c r="FP70" s="262"/>
      <c r="FQ70" s="262"/>
      <c r="FR70" s="262"/>
      <c r="FS70" s="262"/>
      <c r="FT70" s="262"/>
      <c r="FU70" s="262"/>
      <c r="FV70" s="262"/>
      <c r="FW70" s="262"/>
      <c r="FX70" s="262"/>
      <c r="FY70" s="262"/>
      <c r="FZ70" s="262"/>
      <c r="GA70" s="262"/>
      <c r="GB70" s="262"/>
      <c r="GC70" s="262"/>
      <c r="GD70" s="262"/>
      <c r="GE70" s="262"/>
      <c r="GF70" s="262"/>
      <c r="GG70" s="262"/>
      <c r="GH70" s="262"/>
      <c r="GI70" s="262"/>
      <c r="GJ70" s="262"/>
      <c r="GK70" s="262"/>
      <c r="GL70" s="262"/>
      <c r="GM70" s="262"/>
      <c r="GN70" s="262"/>
    </row>
    <row r="71" spans="1:196" ht="15" x14ac:dyDescent="0.25">
      <c r="A71" s="52" t="str">
        <f>IF(COUNTBLANK(B71)=1," ",COUNTA($B$12:B71))</f>
        <v xml:space="preserve"> </v>
      </c>
      <c r="B71" s="264"/>
      <c r="C71" s="285" t="s">
        <v>19</v>
      </c>
      <c r="D71" s="285"/>
      <c r="E71" s="285"/>
      <c r="F71" s="285"/>
      <c r="G71" s="282" t="s">
        <v>32</v>
      </c>
      <c r="H71" s="274">
        <f>ROUNDUP(H69*I71,0)</f>
        <v>1067</v>
      </c>
      <c r="I71" s="274">
        <v>2</v>
      </c>
      <c r="J71" s="499"/>
      <c r="K71" s="499"/>
      <c r="L71" s="499"/>
      <c r="M71" s="499"/>
      <c r="N71" s="499"/>
      <c r="O71" s="314"/>
      <c r="P71" s="315"/>
      <c r="Q71" s="315"/>
      <c r="R71" s="315"/>
      <c r="S71" s="315"/>
      <c r="T71" s="315"/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2"/>
      <c r="AK71" s="262"/>
      <c r="AL71" s="262"/>
      <c r="AM71" s="262"/>
      <c r="AN71" s="262"/>
      <c r="AO71" s="262"/>
      <c r="AP71" s="262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2"/>
      <c r="BN71" s="262"/>
      <c r="BO71" s="262"/>
      <c r="BP71" s="262"/>
      <c r="BQ71" s="262"/>
      <c r="BR71" s="262"/>
      <c r="BS71" s="262"/>
      <c r="BT71" s="262"/>
      <c r="BU71" s="262"/>
      <c r="BV71" s="262"/>
      <c r="BW71" s="262"/>
      <c r="BX71" s="262"/>
      <c r="BY71" s="262"/>
      <c r="BZ71" s="262"/>
      <c r="CA71" s="262"/>
      <c r="CB71" s="262"/>
      <c r="CC71" s="262"/>
      <c r="CD71" s="262"/>
      <c r="CE71" s="262"/>
      <c r="CF71" s="262"/>
      <c r="CG71" s="262"/>
      <c r="CH71" s="262"/>
      <c r="CI71" s="262"/>
      <c r="CJ71" s="262"/>
      <c r="CK71" s="262"/>
      <c r="CL71" s="262"/>
      <c r="CM71" s="262"/>
      <c r="CN71" s="262"/>
      <c r="CO71" s="262"/>
      <c r="CP71" s="262"/>
      <c r="CQ71" s="262"/>
      <c r="CR71" s="262"/>
      <c r="CS71" s="262"/>
      <c r="CT71" s="262"/>
      <c r="CU71" s="262"/>
      <c r="CV71" s="262"/>
      <c r="CW71" s="262"/>
      <c r="CX71" s="262"/>
      <c r="CY71" s="262"/>
      <c r="CZ71" s="262"/>
      <c r="DA71" s="262"/>
      <c r="DB71" s="262"/>
      <c r="DC71" s="262"/>
      <c r="DD71" s="262"/>
      <c r="DE71" s="262"/>
      <c r="DF71" s="262"/>
      <c r="DG71" s="262"/>
      <c r="DH71" s="262"/>
      <c r="DI71" s="262"/>
      <c r="DJ71" s="262"/>
      <c r="DK71" s="262"/>
      <c r="DL71" s="262"/>
      <c r="DM71" s="262"/>
      <c r="DN71" s="262"/>
      <c r="DO71" s="262"/>
      <c r="DP71" s="262"/>
      <c r="DQ71" s="262"/>
      <c r="DR71" s="262"/>
      <c r="DS71" s="262"/>
      <c r="DT71" s="262"/>
      <c r="DU71" s="262"/>
      <c r="DV71" s="262"/>
      <c r="DW71" s="262"/>
      <c r="DX71" s="262"/>
      <c r="DY71" s="262"/>
      <c r="DZ71" s="262"/>
      <c r="EA71" s="262"/>
      <c r="EB71" s="262"/>
      <c r="EC71" s="262"/>
      <c r="ED71" s="262"/>
      <c r="EE71" s="262"/>
      <c r="EF71" s="262"/>
      <c r="EG71" s="262"/>
      <c r="EH71" s="262"/>
      <c r="EI71" s="262"/>
      <c r="EJ71" s="262"/>
      <c r="EK71" s="262"/>
      <c r="EL71" s="262"/>
      <c r="EM71" s="262"/>
      <c r="EN71" s="262"/>
      <c r="EO71" s="262"/>
      <c r="EP71" s="262"/>
      <c r="EQ71" s="262"/>
      <c r="ER71" s="262"/>
      <c r="ES71" s="262"/>
      <c r="ET71" s="262"/>
      <c r="EU71" s="262"/>
      <c r="EV71" s="262"/>
      <c r="EW71" s="262"/>
      <c r="EX71" s="262"/>
      <c r="EY71" s="262"/>
      <c r="EZ71" s="262"/>
      <c r="FA71" s="262"/>
      <c r="FB71" s="262"/>
      <c r="FC71" s="262"/>
      <c r="FD71" s="262"/>
      <c r="FE71" s="262"/>
      <c r="FF71" s="262"/>
      <c r="FG71" s="262"/>
      <c r="FH71" s="262"/>
      <c r="FI71" s="262"/>
      <c r="FJ71" s="262"/>
      <c r="FK71" s="262"/>
      <c r="FL71" s="262"/>
      <c r="FM71" s="262"/>
      <c r="FN71" s="262"/>
      <c r="FO71" s="262"/>
      <c r="FP71" s="262"/>
      <c r="FQ71" s="262"/>
      <c r="FR71" s="262"/>
      <c r="FS71" s="262"/>
      <c r="FT71" s="262"/>
      <c r="FU71" s="262"/>
      <c r="FV71" s="262"/>
      <c r="FW71" s="262"/>
      <c r="FX71" s="262"/>
      <c r="FY71" s="262"/>
      <c r="FZ71" s="262"/>
      <c r="GA71" s="262"/>
      <c r="GB71" s="262"/>
      <c r="GC71" s="262"/>
      <c r="GD71" s="262"/>
      <c r="GE71" s="262"/>
      <c r="GF71" s="262"/>
      <c r="GG71" s="262"/>
      <c r="GH71" s="262"/>
      <c r="GI71" s="262"/>
      <c r="GJ71" s="262"/>
      <c r="GK71" s="262"/>
      <c r="GL71" s="262"/>
      <c r="GM71" s="262"/>
      <c r="GN71" s="262"/>
    </row>
    <row r="72" spans="1:196" ht="15" x14ac:dyDescent="0.25">
      <c r="A72" s="52" t="str">
        <f>IF(COUNTBLANK(B72)=1," ",COUNTA($B$12:B72))</f>
        <v xml:space="preserve"> </v>
      </c>
      <c r="B72" s="264"/>
      <c r="C72" s="283" t="s">
        <v>20</v>
      </c>
      <c r="D72" s="283"/>
      <c r="E72" s="283"/>
      <c r="F72" s="283"/>
      <c r="G72" s="264" t="s">
        <v>52</v>
      </c>
      <c r="H72" s="274">
        <f>ROUNDUP(H69*I72,0)</f>
        <v>214</v>
      </c>
      <c r="I72" s="274">
        <v>0.4</v>
      </c>
      <c r="J72" s="499"/>
      <c r="K72" s="499"/>
      <c r="L72" s="499"/>
      <c r="M72" s="499"/>
      <c r="N72" s="499"/>
      <c r="O72" s="314"/>
      <c r="P72" s="315"/>
      <c r="Q72" s="315"/>
      <c r="R72" s="315"/>
      <c r="S72" s="315"/>
      <c r="T72" s="315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262"/>
      <c r="BE72" s="262"/>
      <c r="BF72" s="262"/>
      <c r="BG72" s="262"/>
      <c r="BH72" s="262"/>
      <c r="BI72" s="262"/>
      <c r="BJ72" s="262"/>
      <c r="BK72" s="262"/>
      <c r="BL72" s="262"/>
      <c r="BM72" s="262"/>
      <c r="BN72" s="262"/>
      <c r="BO72" s="262"/>
      <c r="BP72" s="262"/>
      <c r="BQ72" s="262"/>
      <c r="BR72" s="262"/>
      <c r="BS72" s="262"/>
      <c r="BT72" s="262"/>
      <c r="BU72" s="262"/>
      <c r="BV72" s="262"/>
      <c r="BW72" s="262"/>
      <c r="BX72" s="262"/>
      <c r="BY72" s="262"/>
      <c r="BZ72" s="262"/>
      <c r="CA72" s="262"/>
      <c r="CB72" s="262"/>
      <c r="CC72" s="262"/>
      <c r="CD72" s="262"/>
      <c r="CE72" s="262"/>
      <c r="CF72" s="262"/>
      <c r="CG72" s="262"/>
      <c r="CH72" s="262"/>
      <c r="CI72" s="262"/>
      <c r="CJ72" s="262"/>
      <c r="CK72" s="262"/>
      <c r="CL72" s="262"/>
      <c r="CM72" s="262"/>
      <c r="CN72" s="262"/>
      <c r="CO72" s="262"/>
      <c r="CP72" s="262"/>
      <c r="CQ72" s="262"/>
      <c r="CR72" s="262"/>
      <c r="CS72" s="262"/>
      <c r="CT72" s="262"/>
      <c r="CU72" s="262"/>
      <c r="CV72" s="262"/>
      <c r="CW72" s="262"/>
      <c r="CX72" s="262"/>
      <c r="CY72" s="262"/>
      <c r="CZ72" s="262"/>
      <c r="DA72" s="262"/>
      <c r="DB72" s="262"/>
      <c r="DC72" s="262"/>
      <c r="DD72" s="262"/>
      <c r="DE72" s="262"/>
      <c r="DF72" s="262"/>
      <c r="DG72" s="262"/>
      <c r="DH72" s="262"/>
      <c r="DI72" s="262"/>
      <c r="DJ72" s="262"/>
      <c r="DK72" s="262"/>
      <c r="DL72" s="262"/>
      <c r="DM72" s="262"/>
      <c r="DN72" s="262"/>
      <c r="DO72" s="262"/>
      <c r="DP72" s="262"/>
      <c r="DQ72" s="262"/>
      <c r="DR72" s="262"/>
      <c r="DS72" s="262"/>
      <c r="DT72" s="262"/>
      <c r="DU72" s="262"/>
      <c r="DV72" s="262"/>
      <c r="DW72" s="262"/>
      <c r="DX72" s="262"/>
      <c r="DY72" s="262"/>
      <c r="DZ72" s="262"/>
      <c r="EA72" s="262"/>
      <c r="EB72" s="262"/>
      <c r="EC72" s="262"/>
      <c r="ED72" s="262"/>
      <c r="EE72" s="262"/>
      <c r="EF72" s="262"/>
      <c r="EG72" s="262"/>
      <c r="EH72" s="262"/>
      <c r="EI72" s="262"/>
      <c r="EJ72" s="262"/>
      <c r="EK72" s="262"/>
      <c r="EL72" s="262"/>
      <c r="EM72" s="262"/>
      <c r="EN72" s="262"/>
      <c r="EO72" s="262"/>
      <c r="EP72" s="262"/>
      <c r="EQ72" s="262"/>
      <c r="ER72" s="262"/>
      <c r="ES72" s="262"/>
      <c r="ET72" s="262"/>
      <c r="EU72" s="262"/>
      <c r="EV72" s="262"/>
      <c r="EW72" s="262"/>
      <c r="EX72" s="262"/>
      <c r="EY72" s="262"/>
      <c r="EZ72" s="262"/>
      <c r="FA72" s="262"/>
      <c r="FB72" s="262"/>
      <c r="FC72" s="262"/>
      <c r="FD72" s="262"/>
      <c r="FE72" s="262"/>
      <c r="FF72" s="262"/>
      <c r="FG72" s="262"/>
      <c r="FH72" s="262"/>
      <c r="FI72" s="262"/>
      <c r="FJ72" s="262"/>
      <c r="FK72" s="262"/>
      <c r="FL72" s="262"/>
      <c r="FM72" s="262"/>
      <c r="FN72" s="262"/>
      <c r="FO72" s="262"/>
      <c r="FP72" s="262"/>
      <c r="FQ72" s="262"/>
      <c r="FR72" s="262"/>
      <c r="FS72" s="262"/>
      <c r="FT72" s="262"/>
      <c r="FU72" s="262"/>
      <c r="FV72" s="262"/>
      <c r="FW72" s="262"/>
      <c r="FX72" s="262"/>
      <c r="FY72" s="262"/>
      <c r="FZ72" s="262"/>
      <c r="GA72" s="262"/>
      <c r="GB72" s="262"/>
      <c r="GC72" s="262"/>
      <c r="GD72" s="262"/>
      <c r="GE72" s="262"/>
      <c r="GF72" s="262"/>
      <c r="GG72" s="262"/>
      <c r="GH72" s="262"/>
      <c r="GI72" s="262"/>
      <c r="GJ72" s="262"/>
      <c r="GK72" s="262"/>
      <c r="GL72" s="262"/>
      <c r="GM72" s="262"/>
      <c r="GN72" s="262"/>
    </row>
    <row r="73" spans="1:196" ht="15" x14ac:dyDescent="0.25">
      <c r="A73" s="52" t="str">
        <f>IF(COUNTBLANK(B73)=1," ",COUNTA($B$12:B73))</f>
        <v xml:space="preserve"> </v>
      </c>
      <c r="B73" s="264"/>
      <c r="C73" s="283" t="s">
        <v>21</v>
      </c>
      <c r="D73" s="283"/>
      <c r="E73" s="283"/>
      <c r="F73" s="283"/>
      <c r="G73" s="282" t="s">
        <v>32</v>
      </c>
      <c r="H73" s="274">
        <f>ROUNDUP(H69*I73,0)</f>
        <v>1334</v>
      </c>
      <c r="I73" s="274">
        <v>2.5</v>
      </c>
      <c r="J73" s="502"/>
      <c r="K73" s="502"/>
      <c r="L73" s="503"/>
      <c r="M73" s="503"/>
      <c r="N73" s="502"/>
      <c r="O73" s="314"/>
      <c r="P73" s="315"/>
      <c r="Q73" s="315"/>
      <c r="R73" s="315"/>
      <c r="S73" s="315"/>
      <c r="T73" s="315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262"/>
      <c r="BP73" s="262"/>
      <c r="BQ73" s="262"/>
      <c r="BR73" s="262"/>
      <c r="BS73" s="262"/>
      <c r="BT73" s="262"/>
      <c r="BU73" s="262"/>
      <c r="BV73" s="262"/>
      <c r="BW73" s="262"/>
      <c r="BX73" s="262"/>
      <c r="BY73" s="262"/>
      <c r="BZ73" s="262"/>
      <c r="CA73" s="262"/>
      <c r="CB73" s="262"/>
      <c r="CC73" s="262"/>
      <c r="CD73" s="262"/>
      <c r="CE73" s="262"/>
      <c r="CF73" s="262"/>
      <c r="CG73" s="262"/>
      <c r="CH73" s="262"/>
      <c r="CI73" s="262"/>
      <c r="CJ73" s="262"/>
      <c r="CK73" s="262"/>
      <c r="CL73" s="262"/>
      <c r="CM73" s="262"/>
      <c r="CN73" s="262"/>
      <c r="CO73" s="262"/>
      <c r="CP73" s="262"/>
      <c r="CQ73" s="262"/>
      <c r="CR73" s="262"/>
      <c r="CS73" s="262"/>
      <c r="CT73" s="262"/>
      <c r="CU73" s="262"/>
      <c r="CV73" s="262"/>
      <c r="CW73" s="262"/>
      <c r="CX73" s="262"/>
      <c r="CY73" s="262"/>
      <c r="CZ73" s="262"/>
      <c r="DA73" s="262"/>
      <c r="DB73" s="262"/>
      <c r="DC73" s="262"/>
      <c r="DD73" s="262"/>
      <c r="DE73" s="262"/>
      <c r="DF73" s="262"/>
      <c r="DG73" s="262"/>
      <c r="DH73" s="262"/>
      <c r="DI73" s="262"/>
      <c r="DJ73" s="262"/>
      <c r="DK73" s="262"/>
      <c r="DL73" s="262"/>
      <c r="DM73" s="262"/>
      <c r="DN73" s="262"/>
      <c r="DO73" s="262"/>
      <c r="DP73" s="262"/>
      <c r="DQ73" s="262"/>
      <c r="DR73" s="262"/>
      <c r="DS73" s="262"/>
      <c r="DT73" s="262"/>
      <c r="DU73" s="262"/>
      <c r="DV73" s="262"/>
      <c r="DW73" s="262"/>
      <c r="DX73" s="262"/>
      <c r="DY73" s="262"/>
      <c r="DZ73" s="262"/>
      <c r="EA73" s="262"/>
      <c r="EB73" s="262"/>
      <c r="EC73" s="262"/>
      <c r="ED73" s="262"/>
      <c r="EE73" s="262"/>
      <c r="EF73" s="262"/>
      <c r="EG73" s="262"/>
      <c r="EH73" s="262"/>
      <c r="EI73" s="262"/>
      <c r="EJ73" s="262"/>
      <c r="EK73" s="262"/>
      <c r="EL73" s="262"/>
      <c r="EM73" s="262"/>
      <c r="EN73" s="262"/>
      <c r="EO73" s="262"/>
      <c r="EP73" s="262"/>
      <c r="EQ73" s="262"/>
      <c r="ER73" s="262"/>
      <c r="ES73" s="262"/>
      <c r="ET73" s="262"/>
      <c r="EU73" s="262"/>
      <c r="EV73" s="262"/>
      <c r="EW73" s="262"/>
      <c r="EX73" s="262"/>
      <c r="EY73" s="262"/>
      <c r="EZ73" s="262"/>
      <c r="FA73" s="262"/>
      <c r="FB73" s="262"/>
      <c r="FC73" s="262"/>
      <c r="FD73" s="262"/>
      <c r="FE73" s="262"/>
      <c r="FF73" s="262"/>
      <c r="FG73" s="262"/>
      <c r="FH73" s="262"/>
      <c r="FI73" s="262"/>
      <c r="FJ73" s="262"/>
      <c r="FK73" s="262"/>
      <c r="FL73" s="262"/>
      <c r="FM73" s="262"/>
      <c r="FN73" s="262"/>
      <c r="FO73" s="262"/>
      <c r="FP73" s="262"/>
      <c r="FQ73" s="262"/>
      <c r="FR73" s="262"/>
      <c r="FS73" s="262"/>
      <c r="FT73" s="262"/>
      <c r="FU73" s="262"/>
      <c r="FV73" s="262"/>
      <c r="FW73" s="262"/>
      <c r="FX73" s="262"/>
      <c r="FY73" s="262"/>
      <c r="FZ73" s="262"/>
      <c r="GA73" s="262"/>
      <c r="GB73" s="262"/>
      <c r="GC73" s="262"/>
      <c r="GD73" s="262"/>
      <c r="GE73" s="262"/>
      <c r="GF73" s="262"/>
      <c r="GG73" s="262"/>
      <c r="GH73" s="262"/>
      <c r="GI73" s="262"/>
      <c r="GJ73" s="262"/>
      <c r="GK73" s="262"/>
      <c r="GL73" s="262"/>
      <c r="GM73" s="262"/>
      <c r="GN73" s="262"/>
    </row>
    <row r="74" spans="1:196" ht="15" x14ac:dyDescent="0.25">
      <c r="A74" s="52" t="str">
        <f>IF(COUNTBLANK(B74)=1," ",COUNTA($B$12:B74))</f>
        <v xml:space="preserve"> </v>
      </c>
      <c r="B74" s="264"/>
      <c r="C74" s="283" t="s">
        <v>213</v>
      </c>
      <c r="D74" s="283"/>
      <c r="E74" s="283"/>
      <c r="F74" s="283"/>
      <c r="G74" s="264" t="s">
        <v>52</v>
      </c>
      <c r="H74" s="274">
        <f>ROUNDUP(H69*I74,2)</f>
        <v>133.37</v>
      </c>
      <c r="I74" s="274">
        <v>0.25</v>
      </c>
      <c r="J74" s="500"/>
      <c r="K74" s="500"/>
      <c r="L74" s="499"/>
      <c r="M74" s="499"/>
      <c r="N74" s="500"/>
      <c r="O74" s="314"/>
      <c r="P74" s="315"/>
      <c r="Q74" s="315"/>
      <c r="R74" s="315"/>
      <c r="S74" s="315"/>
      <c r="T74" s="315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262"/>
      <c r="BC74" s="262"/>
      <c r="BD74" s="262"/>
      <c r="BE74" s="262"/>
      <c r="BF74" s="262"/>
      <c r="BG74" s="262"/>
      <c r="BH74" s="262"/>
      <c r="BI74" s="262"/>
      <c r="BJ74" s="262"/>
      <c r="BK74" s="262"/>
      <c r="BL74" s="262"/>
      <c r="BM74" s="262"/>
      <c r="BN74" s="262"/>
      <c r="BO74" s="262"/>
      <c r="BP74" s="262"/>
      <c r="BQ74" s="262"/>
      <c r="BR74" s="262"/>
      <c r="BS74" s="262"/>
      <c r="BT74" s="262"/>
      <c r="BU74" s="262"/>
      <c r="BV74" s="262"/>
      <c r="BW74" s="262"/>
      <c r="BX74" s="262"/>
      <c r="BY74" s="262"/>
      <c r="BZ74" s="262"/>
      <c r="CA74" s="262"/>
      <c r="CB74" s="262"/>
      <c r="CC74" s="262"/>
      <c r="CD74" s="262"/>
      <c r="CE74" s="262"/>
      <c r="CF74" s="262"/>
      <c r="CG74" s="262"/>
      <c r="CH74" s="262"/>
      <c r="CI74" s="262"/>
      <c r="CJ74" s="262"/>
      <c r="CK74" s="262"/>
      <c r="CL74" s="262"/>
      <c r="CM74" s="262"/>
      <c r="CN74" s="262"/>
      <c r="CO74" s="262"/>
      <c r="CP74" s="262"/>
      <c r="CQ74" s="262"/>
      <c r="CR74" s="262"/>
      <c r="CS74" s="262"/>
      <c r="CT74" s="262"/>
      <c r="CU74" s="262"/>
      <c r="CV74" s="262"/>
      <c r="CW74" s="262"/>
      <c r="CX74" s="262"/>
      <c r="CY74" s="262"/>
      <c r="CZ74" s="262"/>
      <c r="DA74" s="262"/>
      <c r="DB74" s="262"/>
      <c r="DC74" s="262"/>
      <c r="DD74" s="262"/>
      <c r="DE74" s="262"/>
      <c r="DF74" s="262"/>
      <c r="DG74" s="262"/>
      <c r="DH74" s="262"/>
      <c r="DI74" s="262"/>
      <c r="DJ74" s="262"/>
      <c r="DK74" s="262"/>
      <c r="DL74" s="262"/>
      <c r="DM74" s="262"/>
      <c r="DN74" s="262"/>
      <c r="DO74" s="262"/>
      <c r="DP74" s="262"/>
      <c r="DQ74" s="262"/>
      <c r="DR74" s="262"/>
      <c r="DS74" s="262"/>
      <c r="DT74" s="262"/>
      <c r="DU74" s="262"/>
      <c r="DV74" s="262"/>
      <c r="DW74" s="262"/>
      <c r="DX74" s="262"/>
      <c r="DY74" s="262"/>
      <c r="DZ74" s="262"/>
      <c r="EA74" s="262"/>
      <c r="EB74" s="262"/>
      <c r="EC74" s="262"/>
      <c r="ED74" s="262"/>
      <c r="EE74" s="262"/>
      <c r="EF74" s="262"/>
      <c r="EG74" s="262"/>
      <c r="EH74" s="262"/>
      <c r="EI74" s="262"/>
      <c r="EJ74" s="262"/>
      <c r="EK74" s="262"/>
      <c r="EL74" s="262"/>
      <c r="EM74" s="262"/>
      <c r="EN74" s="262"/>
      <c r="EO74" s="262"/>
      <c r="EP74" s="262"/>
      <c r="EQ74" s="262"/>
      <c r="ER74" s="262"/>
      <c r="ES74" s="262"/>
      <c r="ET74" s="262"/>
      <c r="EU74" s="262"/>
      <c r="EV74" s="262"/>
      <c r="EW74" s="262"/>
      <c r="EX74" s="262"/>
      <c r="EY74" s="262"/>
      <c r="EZ74" s="262"/>
      <c r="FA74" s="262"/>
      <c r="FB74" s="262"/>
      <c r="FC74" s="262"/>
      <c r="FD74" s="262"/>
      <c r="FE74" s="262"/>
      <c r="FF74" s="262"/>
      <c r="FG74" s="262"/>
      <c r="FH74" s="262"/>
      <c r="FI74" s="262"/>
      <c r="FJ74" s="262"/>
      <c r="FK74" s="262"/>
      <c r="FL74" s="262"/>
      <c r="FM74" s="262"/>
      <c r="FN74" s="262"/>
      <c r="FO74" s="262"/>
      <c r="FP74" s="262"/>
      <c r="FQ74" s="262"/>
      <c r="FR74" s="262"/>
      <c r="FS74" s="262"/>
      <c r="FT74" s="262"/>
      <c r="FU74" s="262"/>
      <c r="FV74" s="262"/>
      <c r="FW74" s="262"/>
      <c r="FX74" s="262"/>
      <c r="FY74" s="262"/>
      <c r="FZ74" s="262"/>
      <c r="GA74" s="262"/>
      <c r="GB74" s="262"/>
      <c r="GC74" s="262"/>
      <c r="GD74" s="262"/>
      <c r="GE74" s="262"/>
      <c r="GF74" s="262"/>
      <c r="GG74" s="262"/>
      <c r="GH74" s="262"/>
      <c r="GI74" s="262"/>
      <c r="GJ74" s="262"/>
      <c r="GK74" s="262"/>
      <c r="GL74" s="262"/>
      <c r="GM74" s="262"/>
      <c r="GN74" s="262"/>
    </row>
    <row r="75" spans="1:196" ht="15" x14ac:dyDescent="0.25">
      <c r="A75" s="52" t="str">
        <f>IF(COUNTBLANK(B75)=1," ",COUNTA($B$12:B75))</f>
        <v xml:space="preserve"> </v>
      </c>
      <c r="B75" s="264"/>
      <c r="C75" s="283" t="s">
        <v>22</v>
      </c>
      <c r="D75" s="283"/>
      <c r="E75" s="283"/>
      <c r="F75" s="283"/>
      <c r="G75" s="264" t="s">
        <v>16</v>
      </c>
      <c r="H75" s="274">
        <f>ROUNDUP(H69*I75,0)</f>
        <v>342</v>
      </c>
      <c r="I75" s="274">
        <v>0.64</v>
      </c>
      <c r="J75" s="504"/>
      <c r="K75" s="504"/>
      <c r="L75" s="498"/>
      <c r="M75" s="498"/>
      <c r="N75" s="504"/>
      <c r="O75" s="314"/>
      <c r="P75" s="315"/>
      <c r="Q75" s="315"/>
      <c r="R75" s="315"/>
      <c r="S75" s="315"/>
      <c r="T75" s="315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2"/>
      <c r="AZ75" s="262"/>
      <c r="BA75" s="262"/>
      <c r="BB75" s="262"/>
      <c r="BC75" s="262"/>
      <c r="BD75" s="262"/>
      <c r="BE75" s="262"/>
      <c r="BF75" s="262"/>
      <c r="BG75" s="262"/>
      <c r="BH75" s="262"/>
      <c r="BI75" s="262"/>
      <c r="BJ75" s="262"/>
      <c r="BK75" s="262"/>
      <c r="BL75" s="262"/>
      <c r="BM75" s="262"/>
      <c r="BN75" s="262"/>
      <c r="BO75" s="262"/>
      <c r="BP75" s="262"/>
      <c r="BQ75" s="262"/>
      <c r="BR75" s="262"/>
      <c r="BS75" s="262"/>
      <c r="BT75" s="262"/>
      <c r="BU75" s="262"/>
      <c r="BV75" s="262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2"/>
      <c r="CH75" s="262"/>
      <c r="CI75" s="262"/>
      <c r="CJ75" s="262"/>
      <c r="CK75" s="262"/>
      <c r="CL75" s="262"/>
      <c r="CM75" s="262"/>
      <c r="CN75" s="262"/>
      <c r="CO75" s="262"/>
      <c r="CP75" s="262"/>
      <c r="CQ75" s="262"/>
      <c r="CR75" s="262"/>
      <c r="CS75" s="262"/>
      <c r="CT75" s="262"/>
      <c r="CU75" s="262"/>
      <c r="CV75" s="262"/>
      <c r="CW75" s="262"/>
      <c r="CX75" s="262"/>
      <c r="CY75" s="262"/>
      <c r="CZ75" s="262"/>
      <c r="DA75" s="262"/>
      <c r="DB75" s="262"/>
      <c r="DC75" s="262"/>
      <c r="DD75" s="262"/>
      <c r="DE75" s="262"/>
      <c r="DF75" s="262"/>
      <c r="DG75" s="262"/>
      <c r="DH75" s="262"/>
      <c r="DI75" s="262"/>
      <c r="DJ75" s="262"/>
      <c r="DK75" s="262"/>
      <c r="DL75" s="262"/>
      <c r="DM75" s="262"/>
      <c r="DN75" s="262"/>
      <c r="DO75" s="262"/>
      <c r="DP75" s="262"/>
      <c r="DQ75" s="262"/>
      <c r="DR75" s="262"/>
      <c r="DS75" s="262"/>
      <c r="DT75" s="262"/>
      <c r="DU75" s="262"/>
      <c r="DV75" s="262"/>
      <c r="DW75" s="262"/>
      <c r="DX75" s="262"/>
      <c r="DY75" s="262"/>
      <c r="DZ75" s="262"/>
      <c r="EA75" s="262"/>
      <c r="EB75" s="262"/>
      <c r="EC75" s="262"/>
      <c r="ED75" s="262"/>
      <c r="EE75" s="262"/>
      <c r="EF75" s="262"/>
      <c r="EG75" s="262"/>
      <c r="EH75" s="262"/>
      <c r="EI75" s="262"/>
      <c r="EJ75" s="262"/>
      <c r="EK75" s="262"/>
      <c r="EL75" s="262"/>
      <c r="EM75" s="262"/>
      <c r="EN75" s="262"/>
      <c r="EO75" s="262"/>
      <c r="EP75" s="262"/>
      <c r="EQ75" s="262"/>
      <c r="ER75" s="262"/>
      <c r="ES75" s="262"/>
      <c r="ET75" s="262"/>
      <c r="EU75" s="262"/>
      <c r="EV75" s="262"/>
      <c r="EW75" s="262"/>
      <c r="EX75" s="262"/>
      <c r="EY75" s="262"/>
      <c r="EZ75" s="262"/>
      <c r="FA75" s="262"/>
      <c r="FB75" s="262"/>
      <c r="FC75" s="262"/>
      <c r="FD75" s="262"/>
      <c r="FE75" s="262"/>
      <c r="FF75" s="262"/>
      <c r="FG75" s="262"/>
      <c r="FH75" s="262"/>
      <c r="FI75" s="262"/>
      <c r="FJ75" s="262"/>
      <c r="FK75" s="262"/>
      <c r="FL75" s="262"/>
      <c r="FM75" s="262"/>
      <c r="FN75" s="262"/>
      <c r="FO75" s="262"/>
      <c r="FP75" s="262"/>
      <c r="FQ75" s="262"/>
      <c r="FR75" s="262"/>
      <c r="FS75" s="262"/>
      <c r="FT75" s="262"/>
      <c r="FU75" s="262"/>
      <c r="FV75" s="262"/>
      <c r="FW75" s="262"/>
      <c r="FX75" s="262"/>
      <c r="FY75" s="262"/>
      <c r="FZ75" s="262"/>
      <c r="GA75" s="262"/>
      <c r="GB75" s="262"/>
      <c r="GC75" s="262"/>
      <c r="GD75" s="262"/>
      <c r="GE75" s="262"/>
      <c r="GF75" s="262"/>
      <c r="GG75" s="262"/>
      <c r="GH75" s="262"/>
      <c r="GI75" s="262"/>
      <c r="GJ75" s="262"/>
      <c r="GK75" s="262"/>
      <c r="GL75" s="262"/>
      <c r="GM75" s="262"/>
      <c r="GN75" s="262"/>
    </row>
    <row r="76" spans="1:196" s="146" customFormat="1" ht="22.5" x14ac:dyDescent="0.25">
      <c r="A76" s="52">
        <f>IF(COUNTBLANK(B76)=1," ",COUNTA($B$12:B76))</f>
        <v>43</v>
      </c>
      <c r="B76" s="13" t="s">
        <v>14</v>
      </c>
      <c r="C76" s="14" t="s">
        <v>771</v>
      </c>
      <c r="D76" s="57"/>
      <c r="E76" s="57"/>
      <c r="F76" s="57"/>
      <c r="G76" s="57" t="s">
        <v>17</v>
      </c>
      <c r="H76" s="85">
        <f>apjom!N37</f>
        <v>153.28900000000002</v>
      </c>
      <c r="I76" s="131"/>
      <c r="J76" s="500"/>
      <c r="K76" s="499"/>
      <c r="L76" s="500"/>
      <c r="M76" s="641"/>
      <c r="N76" s="500"/>
      <c r="O76" s="314"/>
      <c r="P76" s="315"/>
      <c r="Q76" s="315"/>
      <c r="R76" s="315"/>
      <c r="S76" s="315"/>
      <c r="T76" s="315"/>
    </row>
    <row r="77" spans="1:196" s="147" customFormat="1" x14ac:dyDescent="0.25">
      <c r="A77" s="52" t="str">
        <f>IF(COUNTBLANK(B77)=1," ",COUNTA($B$12:B77))</f>
        <v xml:space="preserve"> </v>
      </c>
      <c r="B77" s="132"/>
      <c r="C77" s="688" t="s">
        <v>215</v>
      </c>
      <c r="D77" s="34"/>
      <c r="E77" s="34"/>
      <c r="F77" s="34"/>
      <c r="G77" s="34" t="s">
        <v>16</v>
      </c>
      <c r="H77" s="274">
        <f>ROUNDUP(H76*I77,2)</f>
        <v>45.989999999999995</v>
      </c>
      <c r="I77" s="34">
        <v>0.3</v>
      </c>
      <c r="J77" s="500"/>
      <c r="K77" s="500"/>
      <c r="L77" s="500"/>
      <c r="M77" s="500"/>
      <c r="N77" s="500"/>
      <c r="O77" s="314"/>
      <c r="P77" s="315"/>
      <c r="Q77" s="315"/>
      <c r="R77" s="315"/>
      <c r="S77" s="315"/>
      <c r="T77" s="315"/>
    </row>
    <row r="78" spans="1:196" s="147" customFormat="1" x14ac:dyDescent="0.25">
      <c r="A78" s="52" t="str">
        <f>IF(COUNTBLANK(B78)=1," ",COUNTA($B$12:B78))</f>
        <v xml:space="preserve"> </v>
      </c>
      <c r="B78" s="132"/>
      <c r="C78" s="14" t="s">
        <v>877</v>
      </c>
      <c r="D78" s="34"/>
      <c r="E78" s="34"/>
      <c r="F78" s="34"/>
      <c r="G78" s="34" t="s">
        <v>17</v>
      </c>
      <c r="H78" s="274">
        <f>ROUNDUP(H76*I78,2)</f>
        <v>183.95</v>
      </c>
      <c r="I78" s="34">
        <v>1.2</v>
      </c>
      <c r="J78" s="500"/>
      <c r="K78" s="500"/>
      <c r="L78" s="500"/>
      <c r="M78" s="500"/>
      <c r="N78" s="500"/>
      <c r="O78" s="314"/>
      <c r="P78" s="315"/>
      <c r="Q78" s="315"/>
      <c r="R78" s="315"/>
      <c r="S78" s="315"/>
      <c r="T78" s="315"/>
    </row>
    <row r="79" spans="1:196" s="147" customFormat="1" x14ac:dyDescent="0.25">
      <c r="A79" s="52" t="str">
        <f>IF(COUNTBLANK(B79)=1," ",COUNTA($B$12:B79))</f>
        <v xml:space="preserve"> </v>
      </c>
      <c r="B79" s="132"/>
      <c r="C79" s="100" t="s">
        <v>216</v>
      </c>
      <c r="D79" s="34"/>
      <c r="E79" s="34"/>
      <c r="F79" s="34"/>
      <c r="G79" s="34" t="s">
        <v>17</v>
      </c>
      <c r="H79" s="274">
        <f>ROUNDUP(H76*I79,2)</f>
        <v>183.95</v>
      </c>
      <c r="I79" s="34">
        <v>1.2</v>
      </c>
      <c r="J79" s="500"/>
      <c r="K79" s="500"/>
      <c r="L79" s="500"/>
      <c r="M79" s="500"/>
      <c r="N79" s="500"/>
      <c r="O79" s="314"/>
      <c r="P79" s="315"/>
      <c r="Q79" s="315"/>
      <c r="R79" s="315"/>
      <c r="S79" s="315"/>
      <c r="T79" s="315"/>
    </row>
    <row r="80" spans="1:196" s="147" customFormat="1" x14ac:dyDescent="0.25">
      <c r="A80" s="52" t="str">
        <f>IF(COUNTBLANK(B80)=1," ",COUNTA($B$12:B80))</f>
        <v xml:space="preserve"> </v>
      </c>
      <c r="B80" s="132"/>
      <c r="C80" s="16" t="s">
        <v>217</v>
      </c>
      <c r="D80" s="34"/>
      <c r="E80" s="34"/>
      <c r="F80" s="34"/>
      <c r="G80" s="34" t="s">
        <v>23</v>
      </c>
      <c r="H80" s="274">
        <f>ROUNDUP(H76*I80,2)</f>
        <v>567.16999999999996</v>
      </c>
      <c r="I80" s="34">
        <v>3.7</v>
      </c>
      <c r="J80" s="500"/>
      <c r="K80" s="500"/>
      <c r="L80" s="500"/>
      <c r="M80" s="500"/>
      <c r="N80" s="500"/>
      <c r="O80" s="314"/>
      <c r="P80" s="315"/>
      <c r="Q80" s="315"/>
      <c r="R80" s="315"/>
      <c r="S80" s="315"/>
      <c r="T80" s="315"/>
    </row>
    <row r="81" spans="1:20" s="147" customFormat="1" x14ac:dyDescent="0.25">
      <c r="A81" s="52" t="str">
        <f>IF(COUNTBLANK(B81)=1," ",COUNTA($B$12:B81))</f>
        <v xml:space="preserve"> </v>
      </c>
      <c r="B81" s="132"/>
      <c r="C81" s="14" t="s">
        <v>218</v>
      </c>
      <c r="D81" s="34"/>
      <c r="E81" s="34"/>
      <c r="F81" s="34"/>
      <c r="G81" s="34" t="s">
        <v>23</v>
      </c>
      <c r="H81" s="274">
        <f>ROUNDUP(H76*I81,2)</f>
        <v>122.64</v>
      </c>
      <c r="I81" s="34">
        <v>0.8</v>
      </c>
      <c r="J81" s="500"/>
      <c r="K81" s="500"/>
      <c r="L81" s="500"/>
      <c r="M81" s="500"/>
      <c r="N81" s="500"/>
      <c r="O81" s="314"/>
      <c r="P81" s="315"/>
      <c r="Q81" s="315"/>
      <c r="R81" s="315"/>
      <c r="S81" s="315"/>
      <c r="T81" s="315"/>
    </row>
    <row r="82" spans="1:20" s="147" customFormat="1" x14ac:dyDescent="0.25">
      <c r="A82" s="52" t="str">
        <f>IF(COUNTBLANK(B82)=1," ",COUNTA($B$12:B82))</f>
        <v xml:space="preserve"> </v>
      </c>
      <c r="B82" s="132"/>
      <c r="C82" s="16" t="s">
        <v>878</v>
      </c>
      <c r="D82" s="34"/>
      <c r="E82" s="34"/>
      <c r="F82" s="34"/>
      <c r="G82" s="34" t="s">
        <v>23</v>
      </c>
      <c r="H82" s="274">
        <f>ROUNDUP(H76*I82,2)</f>
        <v>61.32</v>
      </c>
      <c r="I82" s="34">
        <v>0.4</v>
      </c>
      <c r="J82" s="500"/>
      <c r="K82" s="500"/>
      <c r="L82" s="500"/>
      <c r="M82" s="500"/>
      <c r="N82" s="500"/>
      <c r="O82" s="314"/>
      <c r="P82" s="315"/>
      <c r="Q82" s="315"/>
      <c r="R82" s="315"/>
      <c r="S82" s="315"/>
      <c r="T82" s="315"/>
    </row>
    <row r="83" spans="1:20" s="147" customFormat="1" x14ac:dyDescent="0.25">
      <c r="A83" s="52" t="str">
        <f>IF(COUNTBLANK(B83)=1," ",COUNTA($B$12:B83))</f>
        <v xml:space="preserve"> </v>
      </c>
      <c r="B83" s="132"/>
      <c r="C83" s="379" t="s">
        <v>24</v>
      </c>
      <c r="D83" s="34"/>
      <c r="E83" s="34"/>
      <c r="F83" s="34"/>
      <c r="G83" s="282" t="s">
        <v>32</v>
      </c>
      <c r="H83" s="274">
        <f>ROUNDUP(H76*I83,0)</f>
        <v>8</v>
      </c>
      <c r="I83" s="34">
        <v>0.05</v>
      </c>
      <c r="J83" s="10"/>
      <c r="K83" s="10"/>
      <c r="L83" s="10"/>
      <c r="M83" s="10"/>
      <c r="N83" s="10"/>
      <c r="O83" s="314"/>
      <c r="P83" s="315"/>
      <c r="Q83" s="315"/>
      <c r="R83" s="315"/>
      <c r="S83" s="315"/>
      <c r="T83" s="315"/>
    </row>
    <row r="84" spans="1:20" s="147" customFormat="1" ht="22.5" x14ac:dyDescent="0.25">
      <c r="A84" s="52">
        <f>IF(COUNTBLANK(B84)=1," ",COUNTA($B$12:B84))</f>
        <v>44</v>
      </c>
      <c r="B84" s="13" t="s">
        <v>14</v>
      </c>
      <c r="C84" s="297" t="s">
        <v>772</v>
      </c>
      <c r="D84" s="57"/>
      <c r="E84" s="57"/>
      <c r="F84" s="57"/>
      <c r="G84" s="57" t="s">
        <v>16</v>
      </c>
      <c r="H84" s="85">
        <f>apjom!O37</f>
        <v>564.92399999999998</v>
      </c>
      <c r="I84" s="131"/>
      <c r="J84" s="500"/>
      <c r="K84" s="499"/>
      <c r="L84" s="500"/>
      <c r="M84" s="500"/>
      <c r="N84" s="500"/>
      <c r="O84" s="314"/>
      <c r="P84" s="315"/>
      <c r="Q84" s="315"/>
      <c r="R84" s="315"/>
      <c r="S84" s="315"/>
      <c r="T84" s="315"/>
    </row>
    <row r="85" spans="1:20" s="147" customFormat="1" ht="22.5" x14ac:dyDescent="0.25">
      <c r="A85" s="52">
        <f>IF(COUNTBLANK(B85)=1," ",COUNTA($B$12:B85))</f>
        <v>45</v>
      </c>
      <c r="B85" s="13" t="s">
        <v>14</v>
      </c>
      <c r="C85" s="54" t="s">
        <v>714</v>
      </c>
      <c r="D85" s="743"/>
      <c r="E85" s="743"/>
      <c r="F85" s="743"/>
      <c r="G85" s="743" t="s">
        <v>201</v>
      </c>
      <c r="H85" s="53">
        <f>D57</f>
        <v>45</v>
      </c>
      <c r="I85" s="59"/>
      <c r="J85" s="421"/>
      <c r="K85" s="499"/>
      <c r="L85" s="421"/>
      <c r="M85" s="505"/>
      <c r="N85" s="421"/>
      <c r="O85" s="314"/>
      <c r="P85" s="315"/>
      <c r="Q85" s="315"/>
      <c r="R85" s="315"/>
      <c r="S85" s="315"/>
      <c r="T85" s="315"/>
    </row>
    <row r="86" spans="1:20" s="147" customFormat="1" ht="22.5" x14ac:dyDescent="0.25">
      <c r="A86" s="52">
        <f>IF(COUNTBLANK(B86)=1," ",COUNTA($B$12:B86))</f>
        <v>46</v>
      </c>
      <c r="B86" s="13" t="s">
        <v>14</v>
      </c>
      <c r="C86" s="54" t="s">
        <v>717</v>
      </c>
      <c r="D86" s="743"/>
      <c r="E86" s="743"/>
      <c r="F86" s="743"/>
      <c r="G86" s="743" t="s">
        <v>201</v>
      </c>
      <c r="H86" s="53">
        <f>apjom!E42</f>
        <v>89</v>
      </c>
      <c r="I86" s="59"/>
      <c r="J86" s="421"/>
      <c r="K86" s="499"/>
      <c r="L86" s="421"/>
      <c r="M86" s="505"/>
      <c r="N86" s="421"/>
      <c r="O86" s="314"/>
      <c r="P86" s="315"/>
      <c r="Q86" s="315"/>
      <c r="R86" s="315"/>
      <c r="S86" s="315"/>
      <c r="T86" s="315"/>
    </row>
    <row r="87" spans="1:20" s="147" customFormat="1" x14ac:dyDescent="0.25">
      <c r="A87" s="52">
        <f>IF(COUNTBLANK(B87)=1," ",COUNTA($B$12:B87))</f>
        <v>47</v>
      </c>
      <c r="B87" s="13" t="s">
        <v>14</v>
      </c>
      <c r="C87" s="382" t="s">
        <v>30</v>
      </c>
      <c r="D87" s="152"/>
      <c r="E87" s="152"/>
      <c r="F87" s="743"/>
      <c r="G87" s="87" t="s">
        <v>26</v>
      </c>
      <c r="H87" s="15">
        <f>H14*1*3*0.05+H13*0.04</f>
        <v>28.565600000000003</v>
      </c>
      <c r="I87" s="59"/>
      <c r="J87" s="212"/>
      <c r="K87" s="499"/>
      <c r="L87" s="639"/>
      <c r="M87" s="640"/>
      <c r="N87" s="212"/>
      <c r="O87" s="314"/>
      <c r="P87" s="315"/>
      <c r="Q87" s="315"/>
      <c r="R87" s="315"/>
      <c r="S87" s="315"/>
      <c r="T87" s="315"/>
    </row>
    <row r="88" spans="1:20" s="147" customFormat="1" x14ac:dyDescent="0.25">
      <c r="A88" s="52" t="str">
        <f>IF(COUNTBLANK(B88)=1," ",COUNTA($B$12:B88))</f>
        <v xml:space="preserve"> </v>
      </c>
      <c r="B88" s="13"/>
      <c r="C88" s="382" t="s">
        <v>31</v>
      </c>
      <c r="D88" s="152"/>
      <c r="E88" s="152"/>
      <c r="F88" s="743"/>
      <c r="G88" s="87" t="s">
        <v>32</v>
      </c>
      <c r="H88" s="10">
        <f>ROUNDUP(H87*I88,0)</f>
        <v>5</v>
      </c>
      <c r="I88" s="274">
        <v>0.14285714285714299</v>
      </c>
      <c r="J88" s="212"/>
      <c r="K88" s="212"/>
      <c r="L88" s="639"/>
      <c r="M88" s="640"/>
      <c r="N88" s="212"/>
      <c r="O88" s="314"/>
      <c r="P88" s="315"/>
      <c r="Q88" s="315"/>
      <c r="R88" s="315"/>
      <c r="S88" s="315"/>
      <c r="T88" s="315"/>
    </row>
    <row r="89" spans="1:20" s="147" customFormat="1" x14ac:dyDescent="0.25">
      <c r="A89" s="744"/>
      <c r="B89" s="224"/>
      <c r="C89" s="151"/>
      <c r="D89" s="19"/>
      <c r="E89" s="19"/>
      <c r="F89" s="19"/>
      <c r="G89" s="19"/>
      <c r="H89" s="225"/>
      <c r="I89" s="226"/>
      <c r="J89" s="227"/>
      <c r="K89" s="228"/>
      <c r="L89" s="227"/>
      <c r="M89" s="227"/>
      <c r="N89" s="227"/>
      <c r="O89" s="38"/>
      <c r="P89" s="38"/>
      <c r="Q89" s="38"/>
      <c r="R89" s="38"/>
      <c r="S89" s="38"/>
      <c r="T89" s="38"/>
    </row>
    <row r="90" spans="1:20" ht="22.5" x14ac:dyDescent="0.25">
      <c r="A90" s="744"/>
      <c r="B90" s="37"/>
      <c r="C90" s="217" t="s">
        <v>179</v>
      </c>
      <c r="D90" s="23"/>
      <c r="E90" s="23"/>
      <c r="F90" s="23"/>
      <c r="G90" s="17"/>
      <c r="H90" s="162"/>
      <c r="I90" s="162"/>
      <c r="J90" s="17"/>
      <c r="K90" s="17"/>
      <c r="L90" s="17"/>
      <c r="M90" s="17"/>
      <c r="N90" s="17"/>
      <c r="O90" s="17"/>
      <c r="P90" s="20">
        <f>SUM(P12:P88)</f>
        <v>0</v>
      </c>
      <c r="Q90" s="20">
        <f>SUM(Q12:Q88)</f>
        <v>0</v>
      </c>
      <c r="R90" s="20">
        <f>SUM(R12:R88)</f>
        <v>0</v>
      </c>
      <c r="S90" s="20">
        <f>SUM(S12:S88)</f>
        <v>0</v>
      </c>
      <c r="T90" s="20">
        <f>SUM(T12:T88)</f>
        <v>0</v>
      </c>
    </row>
    <row r="91" spans="1:20" x14ac:dyDescent="0.25">
      <c r="A91" s="738"/>
      <c r="B91" s="45"/>
      <c r="C91" s="50"/>
      <c r="D91" s="37"/>
      <c r="E91" s="37"/>
      <c r="F91" s="37"/>
      <c r="G91" s="45"/>
      <c r="H91" s="45"/>
      <c r="I91" s="45"/>
      <c r="K91" s="45"/>
      <c r="L91" s="45"/>
      <c r="M91" s="45"/>
      <c r="N91" s="45"/>
      <c r="O91" s="45"/>
      <c r="P91" s="45"/>
      <c r="Q91" s="45"/>
      <c r="R91" s="45"/>
      <c r="S91" s="45"/>
      <c r="T91" s="45"/>
    </row>
    <row r="92" spans="1:20" x14ac:dyDescent="0.25">
      <c r="A92" s="738"/>
      <c r="B92" s="140" t="str">
        <f>sas</f>
        <v>Sastādīja:</v>
      </c>
      <c r="C92" s="140"/>
      <c r="D92" s="144"/>
      <c r="E92" s="144"/>
      <c r="F92" s="144"/>
      <c r="G92" s="94"/>
      <c r="H92" s="94"/>
      <c r="I92" s="94"/>
      <c r="K92" s="45"/>
      <c r="L92" s="45"/>
      <c r="M92" s="45"/>
      <c r="N92" s="45"/>
      <c r="O92" s="45"/>
      <c r="P92" s="45"/>
      <c r="Q92" s="45"/>
      <c r="R92" s="45"/>
      <c r="S92" s="45"/>
      <c r="T92" s="45"/>
    </row>
    <row r="93" spans="1:20" x14ac:dyDescent="0.25">
      <c r="A93" s="738"/>
      <c r="B93" s="140"/>
      <c r="C93" s="358" t="s">
        <v>145</v>
      </c>
      <c r="D93" s="723"/>
      <c r="E93" s="723"/>
      <c r="F93" s="723"/>
      <c r="G93" s="140"/>
      <c r="H93" s="140"/>
      <c r="I93" s="94"/>
      <c r="K93" s="45"/>
      <c r="L93" s="45"/>
      <c r="M93" s="45"/>
      <c r="N93" s="45"/>
      <c r="O93" s="45"/>
      <c r="P93" s="45"/>
      <c r="Q93" s="45"/>
      <c r="R93" s="45"/>
      <c r="S93" s="45"/>
      <c r="T93" s="45"/>
    </row>
    <row r="94" spans="1:20" x14ac:dyDescent="0.25">
      <c r="B94" s="161"/>
      <c r="C94" s="161"/>
      <c r="D94" s="161"/>
      <c r="E94" s="161"/>
      <c r="F94" s="161"/>
      <c r="G94" s="140"/>
      <c r="H94" s="140"/>
      <c r="I94" s="94"/>
    </row>
    <row r="95" spans="1:20" x14ac:dyDescent="0.25">
      <c r="B95" s="140" t="str">
        <f>dat</f>
        <v>Tāme sastādīta 201__. gada __.____________</v>
      </c>
      <c r="C95" s="140"/>
      <c r="D95" s="144"/>
      <c r="E95" s="144"/>
      <c r="F95" s="144"/>
      <c r="G95" s="140"/>
      <c r="H95" s="140"/>
      <c r="I95" s="94"/>
    </row>
    <row r="96" spans="1:20" x14ac:dyDescent="0.25">
      <c r="B96" s="161"/>
      <c r="C96" s="161"/>
      <c r="D96" s="161"/>
      <c r="E96" s="161"/>
      <c r="F96" s="161"/>
      <c r="G96" s="140"/>
      <c r="H96" s="140"/>
      <c r="I96" s="94"/>
    </row>
    <row r="97" spans="2:9" x14ac:dyDescent="0.25">
      <c r="B97" s="140" t="s">
        <v>147</v>
      </c>
      <c r="C97" s="140"/>
      <c r="D97" s="144"/>
      <c r="E97" s="144"/>
      <c r="F97" s="144"/>
      <c r="I97" s="45"/>
    </row>
    <row r="98" spans="2:9" x14ac:dyDescent="0.25">
      <c r="B98" s="140"/>
      <c r="C98" s="358" t="s">
        <v>145</v>
      </c>
      <c r="D98" s="723"/>
      <c r="E98" s="723"/>
      <c r="F98" s="723"/>
      <c r="I98" s="45"/>
    </row>
    <row r="99" spans="2:9" x14ac:dyDescent="0.25">
      <c r="B99" s="161"/>
      <c r="C99" s="140" t="s">
        <v>148</v>
      </c>
      <c r="D99" s="144"/>
      <c r="E99" s="144"/>
      <c r="F99" s="144"/>
      <c r="I99" s="45"/>
    </row>
  </sheetData>
  <autoFilter ref="A11:IK88" xr:uid="{00000000-0009-0000-0000-000004000000}">
    <filterColumn colId="2" showButton="0"/>
    <filterColumn colId="3" showButton="0"/>
    <filterColumn colId="4" showButton="0"/>
  </autoFilter>
  <mergeCells count="9">
    <mergeCell ref="C9:F10"/>
    <mergeCell ref="C11:F11"/>
    <mergeCell ref="A1:J1"/>
    <mergeCell ref="P9:T9"/>
    <mergeCell ref="A9:A10"/>
    <mergeCell ref="B9:B10"/>
    <mergeCell ref="G9:G10"/>
    <mergeCell ref="H9:H10"/>
    <mergeCell ref="J9:O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W98"/>
  <sheetViews>
    <sheetView view="pageBreakPreview" topLeftCell="A49" zoomScale="85" zoomScaleSheetLayoutView="85" workbookViewId="0">
      <selection activeCell="C82" sqref="C82"/>
    </sheetView>
  </sheetViews>
  <sheetFormatPr defaultColWidth="8.7109375" defaultRowHeight="11.25" x14ac:dyDescent="0.25"/>
  <cols>
    <col min="1" max="1" width="4.28515625" style="32" customWidth="1"/>
    <col min="2" max="2" width="4.28515625" style="100" customWidth="1"/>
    <col min="3" max="3" width="40.7109375" style="129" customWidth="1"/>
    <col min="4" max="4" width="3.28515625" style="732" customWidth="1"/>
    <col min="5" max="6" width="5.85546875" style="732" customWidth="1"/>
    <col min="7" max="7" width="5.42578125" style="100" customWidth="1"/>
    <col min="8" max="8" width="8.140625" style="100" customWidth="1"/>
    <col min="9" max="9" width="6.140625" style="100" hidden="1" customWidth="1"/>
    <col min="10" max="10" width="7" style="45" customWidth="1"/>
    <col min="11" max="12" width="6.7109375" style="100" customWidth="1"/>
    <col min="13" max="13" width="6.42578125" style="100" customWidth="1"/>
    <col min="14" max="14" width="5.7109375" style="100" customWidth="1"/>
    <col min="15" max="15" width="7.42578125" style="100" customWidth="1"/>
    <col min="16" max="16" width="7.28515625" style="100" customWidth="1"/>
    <col min="17" max="17" width="7" style="100" customWidth="1"/>
    <col min="18" max="18" width="8.7109375" style="100" customWidth="1"/>
    <col min="19" max="19" width="7.85546875" style="100" customWidth="1"/>
    <col min="20" max="20" width="8.5703125" style="100" customWidth="1"/>
    <col min="21" max="16384" width="8.7109375" style="100"/>
  </cols>
  <sheetData>
    <row r="1" spans="1:20" s="27" customFormat="1" ht="12" thickBot="1" x14ac:dyDescent="0.3">
      <c r="A1" s="837" t="s">
        <v>6</v>
      </c>
      <c r="B1" s="837"/>
      <c r="C1" s="837"/>
      <c r="D1" s="837"/>
      <c r="E1" s="837"/>
      <c r="F1" s="837"/>
      <c r="G1" s="837"/>
      <c r="H1" s="837"/>
      <c r="I1" s="837"/>
      <c r="J1" s="838"/>
      <c r="K1" s="42">
        <f>KPDV!A16</f>
        <v>4</v>
      </c>
      <c r="L1" s="26"/>
      <c r="M1" s="26"/>
      <c r="N1" s="26"/>
      <c r="O1" s="26"/>
      <c r="P1" s="26"/>
    </row>
    <row r="2" spans="1:20" s="27" customFormat="1" x14ac:dyDescent="0.25">
      <c r="A2" s="267"/>
      <c r="B2" s="731"/>
      <c r="C2" s="141" t="s">
        <v>579</v>
      </c>
      <c r="D2" s="219"/>
      <c r="E2" s="219"/>
      <c r="F2" s="219"/>
      <c r="G2" s="731"/>
      <c r="H2" s="731"/>
      <c r="I2" s="731"/>
      <c r="J2" s="741"/>
      <c r="K2" s="92"/>
      <c r="L2" s="26"/>
      <c r="M2" s="26"/>
      <c r="N2" s="26"/>
      <c r="O2" s="26"/>
      <c r="P2" s="26"/>
    </row>
    <row r="3" spans="1:20" x14ac:dyDescent="0.25">
      <c r="A3" s="190" t="str">
        <f>nos</f>
        <v>Būves nosaukums:  Dzīvojamās māja</v>
      </c>
      <c r="B3" s="4"/>
      <c r="C3" s="28"/>
      <c r="D3" s="220"/>
      <c r="E3" s="220"/>
      <c r="F3" s="22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168" t="str">
        <f>obj</f>
        <v>Objekta nosaukums: Dzīvojamās ēkas fasādes vienkāršota atjaunošana</v>
      </c>
      <c r="B4" s="4"/>
      <c r="C4" s="28"/>
      <c r="D4" s="220"/>
      <c r="E4" s="220"/>
      <c r="F4" s="22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168" t="str">
        <f>adres</f>
        <v>Objekta adrese: Aisteres iela 7, Liepājā</v>
      </c>
      <c r="B5" s="4"/>
      <c r="C5" s="28"/>
      <c r="D5" s="220"/>
      <c r="E5" s="220"/>
      <c r="F5" s="22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" thickBot="1" x14ac:dyDescent="0.3">
      <c r="A6" s="168" t="str">
        <f>nr</f>
        <v>Pasūtījuma Nr.WS-41-17</v>
      </c>
      <c r="B6" s="4"/>
      <c r="C6" s="28"/>
      <c r="D6" s="220"/>
      <c r="E6" s="220"/>
      <c r="F6" s="22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3.25" thickBot="1" x14ac:dyDescent="0.3">
      <c r="A7" s="190"/>
      <c r="B7" s="7"/>
      <c r="C7" s="186" t="s">
        <v>695</v>
      </c>
      <c r="D7" s="221"/>
      <c r="E7" s="221"/>
      <c r="F7" s="221"/>
      <c r="G7" s="162"/>
      <c r="H7" s="187" t="s">
        <v>142</v>
      </c>
      <c r="I7" s="7" t="s">
        <v>143</v>
      </c>
      <c r="J7" s="7"/>
      <c r="K7" s="7"/>
      <c r="L7" s="7"/>
      <c r="M7" s="7"/>
      <c r="N7" s="7"/>
      <c r="O7" s="7"/>
      <c r="P7" s="7"/>
      <c r="Q7" s="7"/>
      <c r="R7" s="7"/>
      <c r="S7" s="163" t="s">
        <v>144</v>
      </c>
      <c r="T7" s="29">
        <f>T89</f>
        <v>0</v>
      </c>
    </row>
    <row r="8" spans="1:20" x14ac:dyDescent="0.25">
      <c r="A8" s="182"/>
      <c r="B8" s="187"/>
      <c r="C8" s="158"/>
      <c r="D8" s="17"/>
      <c r="E8" s="17"/>
      <c r="F8" s="1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62"/>
      <c r="R8" s="188"/>
      <c r="S8" s="189" t="str">
        <f>KPDV!C47</f>
        <v>Tāme sastādīta 201__. gada __.____________</v>
      </c>
      <c r="T8" s="4"/>
    </row>
    <row r="9" spans="1:20" s="32" customFormat="1" x14ac:dyDescent="0.25">
      <c r="A9" s="830" t="s">
        <v>7</v>
      </c>
      <c r="B9" s="831" t="s">
        <v>8</v>
      </c>
      <c r="C9" s="835" t="s">
        <v>132</v>
      </c>
      <c r="D9" s="835"/>
      <c r="E9" s="835"/>
      <c r="F9" s="835"/>
      <c r="G9" s="839" t="s">
        <v>51</v>
      </c>
      <c r="H9" s="831" t="s">
        <v>114</v>
      </c>
      <c r="I9" s="727"/>
      <c r="J9" s="829" t="s">
        <v>133</v>
      </c>
      <c r="K9" s="829"/>
      <c r="L9" s="829"/>
      <c r="M9" s="829"/>
      <c r="N9" s="829"/>
      <c r="O9" s="829"/>
      <c r="P9" s="829" t="s">
        <v>134</v>
      </c>
      <c r="Q9" s="829"/>
      <c r="R9" s="829"/>
      <c r="S9" s="829"/>
      <c r="T9" s="829"/>
    </row>
    <row r="10" spans="1:20" s="32" customFormat="1" ht="69" x14ac:dyDescent="0.25">
      <c r="A10" s="830"/>
      <c r="B10" s="831"/>
      <c r="C10" s="835"/>
      <c r="D10" s="835"/>
      <c r="E10" s="835"/>
      <c r="F10" s="835"/>
      <c r="G10" s="839"/>
      <c r="H10" s="831"/>
      <c r="I10" s="727"/>
      <c r="J10" s="749" t="s">
        <v>563</v>
      </c>
      <c r="K10" s="749" t="s">
        <v>564</v>
      </c>
      <c r="L10" s="749" t="s">
        <v>565</v>
      </c>
      <c r="M10" s="749" t="s">
        <v>566</v>
      </c>
      <c r="N10" s="749" t="s">
        <v>567</v>
      </c>
      <c r="O10" s="749" t="s">
        <v>568</v>
      </c>
      <c r="P10" s="749" t="s">
        <v>569</v>
      </c>
      <c r="Q10" s="749" t="s">
        <v>565</v>
      </c>
      <c r="R10" s="749" t="s">
        <v>566</v>
      </c>
      <c r="S10" s="749" t="s">
        <v>567</v>
      </c>
      <c r="T10" s="749" t="s">
        <v>562</v>
      </c>
    </row>
    <row r="11" spans="1:20" s="32" customFormat="1" x14ac:dyDescent="0.25">
      <c r="A11" s="410">
        <v>1</v>
      </c>
      <c r="B11" s="33">
        <f>A11+1</f>
        <v>2</v>
      </c>
      <c r="C11" s="836">
        <f>B11+1</f>
        <v>3</v>
      </c>
      <c r="D11" s="836"/>
      <c r="E11" s="836"/>
      <c r="F11" s="836"/>
      <c r="G11" s="33">
        <f>C11+1</f>
        <v>4</v>
      </c>
      <c r="H11" s="33">
        <f>G11+1</f>
        <v>5</v>
      </c>
      <c r="I11" s="145"/>
      <c r="J11" s="595">
        <f>H11+1</f>
        <v>6</v>
      </c>
      <c r="K11" s="595">
        <f t="shared" ref="K11:T11" si="0">J11+1</f>
        <v>7</v>
      </c>
      <c r="L11" s="595">
        <f t="shared" si="0"/>
        <v>8</v>
      </c>
      <c r="M11" s="595">
        <f t="shared" si="0"/>
        <v>9</v>
      </c>
      <c r="N11" s="595">
        <f t="shared" si="0"/>
        <v>10</v>
      </c>
      <c r="O11" s="595">
        <f t="shared" si="0"/>
        <v>11</v>
      </c>
      <c r="P11" s="595">
        <f t="shared" si="0"/>
        <v>12</v>
      </c>
      <c r="Q11" s="595">
        <f t="shared" si="0"/>
        <v>13</v>
      </c>
      <c r="R11" s="595">
        <f t="shared" si="0"/>
        <v>14</v>
      </c>
      <c r="S11" s="595">
        <f t="shared" si="0"/>
        <v>15</v>
      </c>
      <c r="T11" s="595">
        <f t="shared" si="0"/>
        <v>16</v>
      </c>
    </row>
    <row r="12" spans="1:20" x14ac:dyDescent="0.25">
      <c r="A12" s="52">
        <f>IF(COUNTBLANK(B12)=1," ",COUNTA($B$12:B12))</f>
        <v>1</v>
      </c>
      <c r="B12" s="13" t="s">
        <v>14</v>
      </c>
      <c r="C12" s="14" t="s">
        <v>15</v>
      </c>
      <c r="D12" s="57"/>
      <c r="E12" s="57"/>
      <c r="F12" s="57"/>
      <c r="G12" s="57" t="s">
        <v>16</v>
      </c>
      <c r="H12" s="85">
        <f>apjom!P76</f>
        <v>399.88200000000006</v>
      </c>
      <c r="I12" s="34"/>
      <c r="J12" s="509"/>
      <c r="K12" s="509"/>
      <c r="L12" s="509"/>
      <c r="M12" s="509"/>
      <c r="N12" s="509"/>
      <c r="O12" s="314"/>
      <c r="P12" s="315"/>
      <c r="Q12" s="315"/>
      <c r="R12" s="315"/>
      <c r="S12" s="315"/>
      <c r="T12" s="315"/>
    </row>
    <row r="13" spans="1:20" ht="22.5" x14ac:dyDescent="0.25">
      <c r="A13" s="52">
        <f>IF(COUNTBLANK(B13)=1," ",COUNTA($B$12:B13))</f>
        <v>2</v>
      </c>
      <c r="B13" s="13" t="s">
        <v>14</v>
      </c>
      <c r="C13" s="14" t="s">
        <v>860</v>
      </c>
      <c r="D13" s="57"/>
      <c r="E13" s="57"/>
      <c r="F13" s="57"/>
      <c r="G13" s="57" t="s">
        <v>17</v>
      </c>
      <c r="H13" s="85">
        <f>apjom!J57+apjom!I62+apjom!J68</f>
        <v>179.73999999999998</v>
      </c>
      <c r="I13" s="34"/>
      <c r="J13" s="599"/>
      <c r="K13" s="509"/>
      <c r="L13" s="599"/>
      <c r="M13" s="599"/>
      <c r="N13" s="599"/>
      <c r="O13" s="314"/>
      <c r="P13" s="315"/>
      <c r="Q13" s="315"/>
      <c r="R13" s="315"/>
      <c r="S13" s="315"/>
      <c r="T13" s="315"/>
    </row>
    <row r="14" spans="1:20" ht="22.5" x14ac:dyDescent="0.25">
      <c r="A14" s="52">
        <f>IF(COUNTBLANK(B14)=1," ",COUNTA($B$12:B14))</f>
        <v>3</v>
      </c>
      <c r="B14" s="13" t="s">
        <v>14</v>
      </c>
      <c r="C14" s="14" t="s">
        <v>192</v>
      </c>
      <c r="D14" s="57"/>
      <c r="E14" s="57"/>
      <c r="F14" s="57"/>
      <c r="G14" s="57" t="s">
        <v>193</v>
      </c>
      <c r="H14" s="85">
        <f>SUM(D64:D67)</f>
        <v>46</v>
      </c>
      <c r="I14" s="34"/>
      <c r="J14" s="599"/>
      <c r="K14" s="509"/>
      <c r="L14" s="599"/>
      <c r="M14" s="599"/>
      <c r="N14" s="599"/>
      <c r="O14" s="314"/>
      <c r="P14" s="315"/>
      <c r="Q14" s="315"/>
      <c r="R14" s="315"/>
      <c r="S14" s="315"/>
      <c r="T14" s="315"/>
    </row>
    <row r="15" spans="1:20" ht="90" x14ac:dyDescent="0.25">
      <c r="A15" s="52" t="str">
        <f>IF(COUNTBLANK(B15)=1," ",COUNTA($B$12:B15))</f>
        <v xml:space="preserve"> </v>
      </c>
      <c r="B15" s="13"/>
      <c r="C15" s="95" t="s">
        <v>231</v>
      </c>
      <c r="D15" s="223" t="s">
        <v>189</v>
      </c>
      <c r="E15" s="57" t="str">
        <f>apjom!F3</f>
        <v>L</v>
      </c>
      <c r="F15" s="57" t="str">
        <f>apjom!G3</f>
        <v>h</v>
      </c>
      <c r="G15" s="57" t="s">
        <v>17</v>
      </c>
      <c r="H15" s="85"/>
      <c r="I15" s="34"/>
      <c r="J15" s="34"/>
      <c r="K15" s="271"/>
      <c r="L15" s="34"/>
      <c r="M15" s="55"/>
      <c r="N15" s="34"/>
      <c r="O15" s="314"/>
      <c r="P15" s="315"/>
      <c r="Q15" s="315"/>
      <c r="R15" s="315"/>
      <c r="S15" s="315"/>
      <c r="T15" s="315"/>
    </row>
    <row r="16" spans="1:20" x14ac:dyDescent="0.25">
      <c r="A16" s="52"/>
      <c r="B16" s="13"/>
      <c r="C16" s="95" t="s">
        <v>754</v>
      </c>
      <c r="D16" s="223"/>
      <c r="E16" s="57"/>
      <c r="F16" s="57"/>
      <c r="G16" s="57"/>
      <c r="H16" s="85"/>
      <c r="I16" s="227"/>
      <c r="J16" s="34"/>
      <c r="K16" s="271"/>
      <c r="L16" s="34"/>
      <c r="M16" s="55"/>
      <c r="N16" s="34"/>
      <c r="O16" s="314"/>
      <c r="P16" s="315"/>
      <c r="Q16" s="315"/>
      <c r="R16" s="315"/>
      <c r="S16" s="315"/>
      <c r="T16" s="315"/>
    </row>
    <row r="17" spans="1:20" x14ac:dyDescent="0.25">
      <c r="A17" s="52">
        <f>IF(COUNTBLANK(B17)=1," ",COUNTA($B$12:B17))</f>
        <v>4</v>
      </c>
      <c r="B17" s="13" t="s">
        <v>14</v>
      </c>
      <c r="C17" s="222" t="str">
        <f>apjom!B5</f>
        <v>L1</v>
      </c>
      <c r="D17" s="57">
        <f>apjom!D45</f>
        <v>0</v>
      </c>
      <c r="E17" s="57">
        <f>apjom!F45</f>
        <v>1.2</v>
      </c>
      <c r="F17" s="57">
        <f>apjom!G45</f>
        <v>1.5</v>
      </c>
      <c r="G17" s="57" t="str">
        <f>G15</f>
        <v>m²</v>
      </c>
      <c r="H17" s="34">
        <f>F17*E17*D17</f>
        <v>0</v>
      </c>
      <c r="J17" s="509"/>
      <c r="K17" s="509"/>
      <c r="L17" s="509"/>
      <c r="M17" s="512"/>
      <c r="N17" s="509"/>
      <c r="O17" s="314"/>
      <c r="P17" s="315"/>
      <c r="Q17" s="315"/>
      <c r="R17" s="315"/>
      <c r="S17" s="315"/>
      <c r="T17" s="315"/>
    </row>
    <row r="18" spans="1:20" x14ac:dyDescent="0.25">
      <c r="A18" s="52">
        <f>IF(COUNTBLANK(B18)=1," ",COUNTA($B$12:B18))</f>
        <v>5</v>
      </c>
      <c r="B18" s="13" t="s">
        <v>14</v>
      </c>
      <c r="C18" s="222" t="str">
        <f>apjom!B6</f>
        <v>L2</v>
      </c>
      <c r="D18" s="57">
        <f>apjom!D46</f>
        <v>15</v>
      </c>
      <c r="E18" s="57">
        <f>apjom!F46</f>
        <v>1.2</v>
      </c>
      <c r="F18" s="57">
        <f>apjom!G46</f>
        <v>1.5</v>
      </c>
      <c r="G18" s="57" t="str">
        <f t="shared" ref="G18:G33" si="1">G17</f>
        <v>m²</v>
      </c>
      <c r="H18" s="34">
        <f>F18*E18*D18</f>
        <v>26.999999999999996</v>
      </c>
      <c r="J18" s="509"/>
      <c r="K18" s="509"/>
      <c r="L18" s="509"/>
      <c r="M18" s="512"/>
      <c r="N18" s="509"/>
      <c r="O18" s="314"/>
      <c r="P18" s="315"/>
      <c r="Q18" s="315"/>
      <c r="R18" s="315"/>
      <c r="S18" s="315"/>
      <c r="T18" s="315"/>
    </row>
    <row r="19" spans="1:20" x14ac:dyDescent="0.25">
      <c r="A19" s="52">
        <f>IF(COUNTBLANK(B19)=1," ",COUNTA($B$12:B19))</f>
        <v>6</v>
      </c>
      <c r="B19" s="13" t="s">
        <v>14</v>
      </c>
      <c r="C19" s="222" t="str">
        <f>apjom!B7</f>
        <v>L3</v>
      </c>
      <c r="D19" s="57">
        <f>apjom!D47</f>
        <v>0</v>
      </c>
      <c r="E19" s="57">
        <f>apjom!F47</f>
        <v>1</v>
      </c>
      <c r="F19" s="57">
        <f>apjom!G47</f>
        <v>1.5</v>
      </c>
      <c r="G19" s="57" t="str">
        <f t="shared" si="1"/>
        <v>m²</v>
      </c>
      <c r="H19" s="34">
        <f t="shared" ref="H19:H33" si="2">F19*E19*D19</f>
        <v>0</v>
      </c>
      <c r="J19" s="509"/>
      <c r="K19" s="509"/>
      <c r="L19" s="509"/>
      <c r="M19" s="512"/>
      <c r="N19" s="509"/>
      <c r="O19" s="314"/>
      <c r="P19" s="315"/>
      <c r="Q19" s="315"/>
      <c r="R19" s="315"/>
      <c r="S19" s="315"/>
      <c r="T19" s="315"/>
    </row>
    <row r="20" spans="1:20" x14ac:dyDescent="0.25">
      <c r="A20" s="52">
        <f>IF(COUNTBLANK(B20)=1," ",COUNTA($B$12:B20))</f>
        <v>7</v>
      </c>
      <c r="B20" s="13" t="s">
        <v>14</v>
      </c>
      <c r="C20" s="222" t="str">
        <f>apjom!B8</f>
        <v>L4</v>
      </c>
      <c r="D20" s="57">
        <f>apjom!D48</f>
        <v>6</v>
      </c>
      <c r="E20" s="57">
        <f>apjom!F48</f>
        <v>1</v>
      </c>
      <c r="F20" s="57">
        <f>apjom!G48</f>
        <v>1.5</v>
      </c>
      <c r="G20" s="57" t="str">
        <f t="shared" si="1"/>
        <v>m²</v>
      </c>
      <c r="H20" s="34">
        <f t="shared" si="2"/>
        <v>9</v>
      </c>
      <c r="J20" s="509"/>
      <c r="K20" s="509"/>
      <c r="L20" s="509"/>
      <c r="M20" s="512"/>
      <c r="N20" s="509"/>
      <c r="O20" s="314"/>
      <c r="P20" s="315"/>
      <c r="Q20" s="315"/>
      <c r="R20" s="315"/>
      <c r="S20" s="315"/>
      <c r="T20" s="315"/>
    </row>
    <row r="21" spans="1:20" x14ac:dyDescent="0.25">
      <c r="A21" s="52">
        <f>IF(COUNTBLANK(B21)=1," ",COUNTA($B$12:B21))</f>
        <v>8</v>
      </c>
      <c r="B21" s="13" t="s">
        <v>14</v>
      </c>
      <c r="C21" s="222" t="str">
        <f>apjom!B9</f>
        <v>L5</v>
      </c>
      <c r="D21" s="57">
        <f>apjom!D49</f>
        <v>0</v>
      </c>
      <c r="E21" s="57">
        <f>apjom!F49</f>
        <v>1.7</v>
      </c>
      <c r="F21" s="57">
        <f>apjom!G49</f>
        <v>1.5</v>
      </c>
      <c r="G21" s="57" t="str">
        <f t="shared" si="1"/>
        <v>m²</v>
      </c>
      <c r="H21" s="34">
        <f t="shared" si="2"/>
        <v>0</v>
      </c>
      <c r="J21" s="509"/>
      <c r="K21" s="509"/>
      <c r="L21" s="509"/>
      <c r="M21" s="512"/>
      <c r="N21" s="509"/>
      <c r="O21" s="314"/>
      <c r="P21" s="315"/>
      <c r="Q21" s="315"/>
      <c r="R21" s="315"/>
      <c r="S21" s="315"/>
      <c r="T21" s="315"/>
    </row>
    <row r="22" spans="1:20" x14ac:dyDescent="0.25">
      <c r="A22" s="52">
        <f>IF(COUNTBLANK(B22)=1," ",COUNTA($B$12:B22))</f>
        <v>9</v>
      </c>
      <c r="B22" s="13" t="s">
        <v>14</v>
      </c>
      <c r="C22" s="222" t="str">
        <f>apjom!B10</f>
        <v>L6</v>
      </c>
      <c r="D22" s="57">
        <f>apjom!D50</f>
        <v>3</v>
      </c>
      <c r="E22" s="57">
        <f>apjom!F50</f>
        <v>1.7</v>
      </c>
      <c r="F22" s="57">
        <f>apjom!G50</f>
        <v>1.5</v>
      </c>
      <c r="G22" s="57" t="str">
        <f t="shared" si="1"/>
        <v>m²</v>
      </c>
      <c r="H22" s="34">
        <f t="shared" si="2"/>
        <v>7.6499999999999995</v>
      </c>
      <c r="J22" s="509"/>
      <c r="K22" s="509"/>
      <c r="L22" s="509"/>
      <c r="M22" s="512"/>
      <c r="N22" s="509"/>
      <c r="O22" s="314"/>
      <c r="P22" s="315"/>
      <c r="Q22" s="315"/>
      <c r="R22" s="315"/>
      <c r="S22" s="315"/>
      <c r="T22" s="315"/>
    </row>
    <row r="23" spans="1:20" x14ac:dyDescent="0.25">
      <c r="A23" s="52">
        <f>IF(COUNTBLANK(B23)=1," ",COUNTA($B$12:B23))</f>
        <v>10</v>
      </c>
      <c r="B23" s="13" t="s">
        <v>14</v>
      </c>
      <c r="C23" s="222" t="str">
        <f>apjom!B11</f>
        <v>L7</v>
      </c>
      <c r="D23" s="57">
        <f>apjom!D51</f>
        <v>0</v>
      </c>
      <c r="E23" s="57">
        <f>apjom!F51</f>
        <v>1.8</v>
      </c>
      <c r="F23" s="57">
        <f>apjom!G51</f>
        <v>1.5</v>
      </c>
      <c r="G23" s="57" t="str">
        <f t="shared" si="1"/>
        <v>m²</v>
      </c>
      <c r="H23" s="34">
        <f t="shared" si="2"/>
        <v>0</v>
      </c>
      <c r="J23" s="509"/>
      <c r="K23" s="509"/>
      <c r="L23" s="509"/>
      <c r="M23" s="512"/>
      <c r="N23" s="509"/>
      <c r="O23" s="314"/>
      <c r="P23" s="315"/>
      <c r="Q23" s="315"/>
      <c r="R23" s="315"/>
      <c r="S23" s="315"/>
      <c r="T23" s="315"/>
    </row>
    <row r="24" spans="1:20" x14ac:dyDescent="0.25">
      <c r="A24" s="52">
        <f>IF(COUNTBLANK(B24)=1," ",COUNTA($B$12:B24))</f>
        <v>11</v>
      </c>
      <c r="B24" s="13" t="s">
        <v>14</v>
      </c>
      <c r="C24" s="222" t="str">
        <f>apjom!B12</f>
        <v>L8</v>
      </c>
      <c r="D24" s="57">
        <f>apjom!D52</f>
        <v>6</v>
      </c>
      <c r="E24" s="57">
        <f>apjom!F52</f>
        <v>1.8</v>
      </c>
      <c r="F24" s="57">
        <f>apjom!G52</f>
        <v>1.5</v>
      </c>
      <c r="G24" s="57" t="str">
        <f t="shared" si="1"/>
        <v>m²</v>
      </c>
      <c r="H24" s="34">
        <f t="shared" si="2"/>
        <v>16.200000000000003</v>
      </c>
      <c r="J24" s="509"/>
      <c r="K24" s="509"/>
      <c r="L24" s="509"/>
      <c r="M24" s="512"/>
      <c r="N24" s="509"/>
      <c r="O24" s="314"/>
      <c r="P24" s="315"/>
      <c r="Q24" s="315"/>
      <c r="R24" s="315"/>
      <c r="S24" s="315"/>
      <c r="T24" s="315"/>
    </row>
    <row r="25" spans="1:20" x14ac:dyDescent="0.25">
      <c r="A25" s="587">
        <f>IF(COUNTBLANK(B25)=1," ",COUNTA($B$12:B25))</f>
        <v>12</v>
      </c>
      <c r="B25" s="588" t="s">
        <v>14</v>
      </c>
      <c r="C25" s="597" t="str">
        <f>apjom!B13</f>
        <v>L9</v>
      </c>
      <c r="D25" s="57">
        <f>apjom!D53</f>
        <v>0</v>
      </c>
      <c r="E25" s="590">
        <f>apjom!F53</f>
        <v>2.5</v>
      </c>
      <c r="F25" s="590">
        <f>apjom!G53</f>
        <v>1.5</v>
      </c>
      <c r="G25" s="590" t="str">
        <f t="shared" si="1"/>
        <v>m²</v>
      </c>
      <c r="H25" s="34">
        <f t="shared" si="2"/>
        <v>0</v>
      </c>
      <c r="J25" s="503"/>
      <c r="K25" s="503"/>
      <c r="L25" s="503"/>
      <c r="M25" s="598"/>
      <c r="N25" s="503"/>
      <c r="O25" s="593"/>
      <c r="P25" s="594"/>
      <c r="Q25" s="594"/>
      <c r="R25" s="594"/>
      <c r="S25" s="594"/>
      <c r="T25" s="594"/>
    </row>
    <row r="26" spans="1:20" x14ac:dyDescent="0.25">
      <c r="A26" s="52">
        <f>IF(COUNTBLANK(B26)=1," ",COUNTA($B$12:B26))</f>
        <v>13</v>
      </c>
      <c r="B26" s="13" t="s">
        <v>14</v>
      </c>
      <c r="C26" s="222" t="str">
        <f>apjom!B54</f>
        <v>L10</v>
      </c>
      <c r="D26" s="57">
        <f>apjom!D54</f>
        <v>1</v>
      </c>
      <c r="E26" s="57">
        <f>apjom!F54</f>
        <v>2.5</v>
      </c>
      <c r="F26" s="57">
        <f>apjom!G54</f>
        <v>1.5</v>
      </c>
      <c r="G26" s="57" t="str">
        <f t="shared" si="1"/>
        <v>m²</v>
      </c>
      <c r="H26" s="34">
        <f t="shared" si="2"/>
        <v>3.75</v>
      </c>
      <c r="J26" s="499"/>
      <c r="K26" s="499"/>
      <c r="L26" s="499"/>
      <c r="M26" s="501"/>
      <c r="N26" s="499"/>
      <c r="O26" s="314"/>
      <c r="P26" s="315"/>
      <c r="Q26" s="315"/>
      <c r="R26" s="315"/>
      <c r="S26" s="315"/>
      <c r="T26" s="315"/>
    </row>
    <row r="27" spans="1:20" x14ac:dyDescent="0.25">
      <c r="A27" s="52">
        <f>IF(COUNTBLANK(B27)=1," ",COUNTA($B$12:B27))</f>
        <v>14</v>
      </c>
      <c r="B27" s="13" t="s">
        <v>14</v>
      </c>
      <c r="C27" s="222" t="str">
        <f>apjom!B15</f>
        <v>L11</v>
      </c>
      <c r="D27" s="57">
        <f>apjom!D55</f>
        <v>0</v>
      </c>
      <c r="E27" s="57">
        <f>apjom!F55</f>
        <v>1.7</v>
      </c>
      <c r="F27" s="57">
        <f>apjom!G55</f>
        <v>0.56999999999999995</v>
      </c>
      <c r="G27" s="57" t="str">
        <f t="shared" si="1"/>
        <v>m²</v>
      </c>
      <c r="H27" s="34">
        <f>F27*E27*D27</f>
        <v>0</v>
      </c>
      <c r="J27" s="499"/>
      <c r="K27" s="499"/>
      <c r="L27" s="499"/>
      <c r="M27" s="501"/>
      <c r="N27" s="499"/>
      <c r="O27" s="314"/>
      <c r="P27" s="315"/>
      <c r="Q27" s="315"/>
      <c r="R27" s="315"/>
      <c r="S27" s="315"/>
      <c r="T27" s="315"/>
    </row>
    <row r="28" spans="1:20" x14ac:dyDescent="0.25">
      <c r="A28" s="52">
        <f>IF(COUNTBLANK(B28)=1," ",COUNTA($B$12:B28))</f>
        <v>15</v>
      </c>
      <c r="B28" s="13" t="s">
        <v>14</v>
      </c>
      <c r="C28" s="222" t="str">
        <f>apjom!B16</f>
        <v>L12</v>
      </c>
      <c r="D28" s="57">
        <f>apjom!D56</f>
        <v>0</v>
      </c>
      <c r="E28" s="57">
        <f>apjom!F56</f>
        <v>2.1</v>
      </c>
      <c r="F28" s="57">
        <f>apjom!G56</f>
        <v>0.8</v>
      </c>
      <c r="G28" s="57" t="str">
        <f t="shared" si="1"/>
        <v>m²</v>
      </c>
      <c r="H28" s="34">
        <f t="shared" si="2"/>
        <v>0</v>
      </c>
      <c r="J28" s="499"/>
      <c r="K28" s="499"/>
      <c r="L28" s="499"/>
      <c r="M28" s="501"/>
      <c r="N28" s="499"/>
      <c r="O28" s="314"/>
      <c r="P28" s="315"/>
      <c r="Q28" s="315"/>
      <c r="R28" s="315"/>
      <c r="S28" s="315"/>
      <c r="T28" s="315"/>
    </row>
    <row r="29" spans="1:20" x14ac:dyDescent="0.25">
      <c r="A29" s="52">
        <f>IF(COUNTBLANK(B29)=1," ",COUNTA($B$12:B29))</f>
        <v>16</v>
      </c>
      <c r="B29" s="13" t="s">
        <v>14</v>
      </c>
      <c r="C29" s="222" t="str">
        <f>apjom!B17</f>
        <v>LODŽIJAS</v>
      </c>
      <c r="D29" s="57"/>
      <c r="E29" s="57"/>
      <c r="F29" s="57"/>
      <c r="G29" s="57"/>
      <c r="H29" s="34"/>
      <c r="I29" s="497"/>
      <c r="J29" s="34"/>
      <c r="K29" s="271"/>
      <c r="L29" s="34"/>
      <c r="M29" s="55"/>
      <c r="N29" s="34"/>
      <c r="O29" s="314"/>
      <c r="P29" s="315"/>
      <c r="Q29" s="315"/>
      <c r="R29" s="315"/>
      <c r="S29" s="315"/>
      <c r="T29" s="315"/>
    </row>
    <row r="30" spans="1:20" x14ac:dyDescent="0.25">
      <c r="A30" s="52">
        <f>IF(COUNTBLANK(B30)=1," ",COUNTA($B$12:B30))</f>
        <v>17</v>
      </c>
      <c r="B30" s="13" t="s">
        <v>14</v>
      </c>
      <c r="C30" s="222" t="str">
        <f>apjom!B18</f>
        <v>L14</v>
      </c>
      <c r="D30" s="57">
        <f>apjom!D58</f>
        <v>12</v>
      </c>
      <c r="E30" s="34">
        <f>apjom!F58</f>
        <v>3.04</v>
      </c>
      <c r="F30" s="34">
        <f>apjom!G58</f>
        <v>1.45</v>
      </c>
      <c r="G30" s="590" t="str">
        <f>G28</f>
        <v>m²</v>
      </c>
      <c r="H30" s="34">
        <f>F30*E30*D30</f>
        <v>52.895999999999994</v>
      </c>
      <c r="J30" s="499"/>
      <c r="K30" s="499"/>
      <c r="L30" s="499"/>
      <c r="M30" s="501"/>
      <c r="N30" s="499"/>
      <c r="O30" s="314"/>
      <c r="P30" s="315"/>
      <c r="Q30" s="315"/>
      <c r="R30" s="315"/>
      <c r="S30" s="315"/>
      <c r="T30" s="315"/>
    </row>
    <row r="31" spans="1:20" x14ac:dyDescent="0.25">
      <c r="A31" s="52">
        <f>IF(COUNTBLANK(B31)=1," ",COUNTA($B$12:B31))</f>
        <v>18</v>
      </c>
      <c r="B31" s="13" t="s">
        <v>14</v>
      </c>
      <c r="C31" s="222" t="str">
        <f>apjom!B19</f>
        <v>esošās demotējamas un atliekamas L15</v>
      </c>
      <c r="D31" s="57">
        <f>apjom!C59</f>
        <v>6</v>
      </c>
      <c r="E31" s="34">
        <f>apjom!F59</f>
        <v>3.04</v>
      </c>
      <c r="F31" s="34">
        <f>apjom!G59</f>
        <v>1.45</v>
      </c>
      <c r="G31" s="57" t="str">
        <f t="shared" si="1"/>
        <v>m²</v>
      </c>
      <c r="H31" s="34">
        <f t="shared" si="2"/>
        <v>26.447999999999997</v>
      </c>
      <c r="J31" s="499"/>
      <c r="K31" s="499"/>
      <c r="L31" s="499"/>
      <c r="M31" s="501"/>
      <c r="N31" s="499"/>
      <c r="O31" s="314"/>
      <c r="P31" s="315"/>
      <c r="Q31" s="315"/>
      <c r="R31" s="315"/>
      <c r="S31" s="315"/>
      <c r="T31" s="315"/>
    </row>
    <row r="32" spans="1:20" x14ac:dyDescent="0.25">
      <c r="A32" s="52">
        <f>IF(COUNTBLANK(B32)=1," ",COUNTA($B$12:B32))</f>
        <v>19</v>
      </c>
      <c r="B32" s="13" t="s">
        <v>14</v>
      </c>
      <c r="C32" s="222" t="str">
        <f>apjom!B20</f>
        <v>L16</v>
      </c>
      <c r="D32" s="57">
        <f>apjom!D60</f>
        <v>22</v>
      </c>
      <c r="E32" s="34">
        <f>apjom!F60</f>
        <v>6.24</v>
      </c>
      <c r="F32" s="34">
        <f>apjom!G60</f>
        <v>1.45</v>
      </c>
      <c r="G32" s="57" t="str">
        <f t="shared" si="1"/>
        <v>m²</v>
      </c>
      <c r="H32" s="34">
        <f t="shared" si="2"/>
        <v>199.05600000000001</v>
      </c>
      <c r="J32" s="499"/>
      <c r="K32" s="499"/>
      <c r="L32" s="499"/>
      <c r="M32" s="501"/>
      <c r="N32" s="499"/>
      <c r="O32" s="314"/>
      <c r="P32" s="315"/>
      <c r="Q32" s="315"/>
      <c r="R32" s="315"/>
      <c r="S32" s="315"/>
      <c r="T32" s="315"/>
    </row>
    <row r="33" spans="1:205" x14ac:dyDescent="0.25">
      <c r="A33" s="52">
        <f>IF(COUNTBLANK(B33)=1," ",COUNTA($B$12:B33))</f>
        <v>20</v>
      </c>
      <c r="B33" s="13" t="s">
        <v>14</v>
      </c>
      <c r="C33" s="222" t="str">
        <f>apjom!B21</f>
        <v>esošās demotējamas un atliekamas L17</v>
      </c>
      <c r="D33" s="57">
        <f>apjom!C61</f>
        <v>6</v>
      </c>
      <c r="E33" s="34">
        <f>apjom!F61</f>
        <v>6.24</v>
      </c>
      <c r="F33" s="34">
        <f>apjom!G61</f>
        <v>1.45</v>
      </c>
      <c r="G33" s="57" t="str">
        <f t="shared" si="1"/>
        <v>m²</v>
      </c>
      <c r="H33" s="34">
        <f t="shared" si="2"/>
        <v>54.287999999999997</v>
      </c>
      <c r="J33" s="499"/>
      <c r="K33" s="499"/>
      <c r="L33" s="499"/>
      <c r="M33" s="501"/>
      <c r="N33" s="499"/>
      <c r="O33" s="314"/>
      <c r="P33" s="315"/>
      <c r="Q33" s="315"/>
      <c r="R33" s="315"/>
      <c r="S33" s="315"/>
      <c r="T33" s="315"/>
    </row>
    <row r="34" spans="1:205" ht="22.5" x14ac:dyDescent="0.25">
      <c r="A34" s="52">
        <f>IF(COUNTBLANK(B34)=1," ",COUNTA($B$12:B34))</f>
        <v>21</v>
      </c>
      <c r="B34" s="13" t="s">
        <v>14</v>
      </c>
      <c r="C34" s="222" t="s">
        <v>807</v>
      </c>
      <c r="D34" s="57"/>
      <c r="E34" s="57"/>
      <c r="F34" s="57"/>
      <c r="G34" s="57" t="s">
        <v>16</v>
      </c>
      <c r="H34" s="86">
        <f>apjom!G58*2*apjom!E62</f>
        <v>133.4</v>
      </c>
      <c r="J34" s="499"/>
      <c r="K34" s="499"/>
      <c r="L34" s="499"/>
      <c r="M34" s="501"/>
      <c r="N34" s="499"/>
      <c r="O34" s="314"/>
      <c r="P34" s="315"/>
      <c r="Q34" s="315"/>
      <c r="R34" s="315"/>
      <c r="S34" s="315"/>
      <c r="T34" s="315"/>
    </row>
    <row r="35" spans="1:205" x14ac:dyDescent="0.25">
      <c r="A35" s="52"/>
      <c r="B35" s="588"/>
      <c r="C35" s="798" t="s">
        <v>806</v>
      </c>
      <c r="D35" s="799"/>
      <c r="E35" s="799"/>
      <c r="F35" s="799"/>
      <c r="G35" s="590" t="s">
        <v>32</v>
      </c>
      <c r="H35" s="800">
        <f>H34*5</f>
        <v>667</v>
      </c>
      <c r="J35" s="499"/>
      <c r="K35" s="499"/>
      <c r="L35" s="499"/>
      <c r="M35" s="501"/>
      <c r="N35" s="499"/>
      <c r="O35" s="314"/>
      <c r="P35" s="315"/>
      <c r="Q35" s="315"/>
      <c r="R35" s="315"/>
      <c r="S35" s="315"/>
      <c r="T35" s="315"/>
    </row>
    <row r="36" spans="1:205" ht="15" x14ac:dyDescent="0.25">
      <c r="A36" s="52">
        <f>IF(COUNTBLANK(B36)=1," ",COUNTA($B$12:B36))</f>
        <v>22</v>
      </c>
      <c r="B36" s="280" t="s">
        <v>14</v>
      </c>
      <c r="C36" s="281" t="s">
        <v>212</v>
      </c>
      <c r="D36" s="281"/>
      <c r="E36" s="281"/>
      <c r="F36" s="281"/>
      <c r="G36" s="282" t="s">
        <v>17</v>
      </c>
      <c r="H36" s="273">
        <f>SUM(H17:H33)</f>
        <v>396.28800000000001</v>
      </c>
      <c r="I36" s="273"/>
      <c r="J36" s="499"/>
      <c r="K36" s="499"/>
      <c r="L36" s="499"/>
      <c r="M36" s="501"/>
      <c r="N36" s="499"/>
      <c r="O36" s="314"/>
      <c r="P36" s="315"/>
      <c r="Q36" s="315"/>
      <c r="R36" s="315"/>
      <c r="S36" s="315"/>
      <c r="T36" s="315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K36" s="262"/>
      <c r="BL36" s="262"/>
      <c r="BM36" s="262"/>
      <c r="BN36" s="262"/>
      <c r="BO36" s="262"/>
      <c r="BP36" s="262"/>
      <c r="BQ36" s="262"/>
      <c r="BR36" s="262"/>
      <c r="BS36" s="262"/>
      <c r="BT36" s="262"/>
      <c r="BU36" s="262"/>
      <c r="BV36" s="262"/>
      <c r="BW36" s="262"/>
      <c r="BX36" s="262"/>
      <c r="BY36" s="262"/>
      <c r="BZ36" s="262"/>
      <c r="CA36" s="262"/>
      <c r="CB36" s="262"/>
      <c r="CC36" s="262"/>
      <c r="CD36" s="262"/>
      <c r="CE36" s="262"/>
      <c r="CF36" s="262"/>
      <c r="CG36" s="262"/>
      <c r="CH36" s="262"/>
      <c r="CI36" s="262"/>
      <c r="CJ36" s="262"/>
      <c r="CK36" s="262"/>
      <c r="CL36" s="262"/>
      <c r="CM36" s="262"/>
      <c r="CN36" s="262"/>
      <c r="CO36" s="262"/>
      <c r="CP36" s="262"/>
      <c r="CQ36" s="262"/>
      <c r="CR36" s="262"/>
      <c r="CS36" s="262"/>
      <c r="CT36" s="262"/>
      <c r="CU36" s="262"/>
      <c r="CV36" s="262"/>
      <c r="CW36" s="262"/>
      <c r="CX36" s="262"/>
      <c r="CY36" s="262"/>
      <c r="CZ36" s="262"/>
      <c r="DA36" s="262"/>
      <c r="DB36" s="262"/>
      <c r="DC36" s="262"/>
      <c r="DD36" s="262"/>
      <c r="DE36" s="262"/>
      <c r="DF36" s="262"/>
      <c r="DG36" s="262"/>
      <c r="DH36" s="262"/>
      <c r="DI36" s="262"/>
      <c r="DJ36" s="262"/>
      <c r="DK36" s="262"/>
      <c r="DL36" s="262"/>
      <c r="DM36" s="262"/>
      <c r="DN36" s="262"/>
      <c r="DO36" s="262"/>
      <c r="DP36" s="262"/>
      <c r="DQ36" s="262"/>
      <c r="DR36" s="262"/>
      <c r="DS36" s="262"/>
      <c r="DT36" s="262"/>
      <c r="DU36" s="262"/>
      <c r="DV36" s="262"/>
      <c r="DW36" s="262"/>
      <c r="DX36" s="262"/>
      <c r="DY36" s="262"/>
      <c r="DZ36" s="262"/>
      <c r="EA36" s="262"/>
      <c r="EB36" s="262"/>
      <c r="EC36" s="262"/>
      <c r="ED36" s="262"/>
      <c r="EE36" s="262"/>
      <c r="EF36" s="262"/>
      <c r="EG36" s="262"/>
      <c r="EH36" s="262"/>
      <c r="EI36" s="262"/>
      <c r="EJ36" s="262"/>
      <c r="EK36" s="262"/>
      <c r="EL36" s="262"/>
      <c r="EM36" s="262"/>
      <c r="EN36" s="262"/>
      <c r="EO36" s="262"/>
      <c r="EP36" s="262"/>
      <c r="EQ36" s="262"/>
      <c r="ER36" s="262"/>
      <c r="ES36" s="262"/>
      <c r="ET36" s="262"/>
      <c r="EU36" s="262"/>
      <c r="EV36" s="262"/>
      <c r="EW36" s="262"/>
      <c r="EX36" s="262"/>
      <c r="EY36" s="262"/>
      <c r="EZ36" s="262"/>
      <c r="FA36" s="262"/>
      <c r="FB36" s="262"/>
      <c r="FC36" s="262"/>
      <c r="FD36" s="262"/>
      <c r="FE36" s="262"/>
      <c r="FF36" s="262"/>
      <c r="FG36" s="262"/>
      <c r="FH36" s="262"/>
      <c r="FI36" s="262"/>
      <c r="FJ36" s="262"/>
      <c r="FK36" s="262"/>
      <c r="FL36" s="262"/>
      <c r="FM36" s="262"/>
      <c r="FN36" s="262"/>
      <c r="FO36" s="262"/>
      <c r="FP36" s="262"/>
      <c r="FQ36" s="262"/>
      <c r="FR36" s="262"/>
      <c r="FS36" s="262"/>
      <c r="FT36" s="262"/>
      <c r="FU36" s="262"/>
      <c r="FV36" s="262"/>
      <c r="FW36" s="262"/>
      <c r="FX36" s="262"/>
      <c r="FY36" s="262"/>
      <c r="FZ36" s="262"/>
      <c r="GA36" s="262"/>
      <c r="GB36" s="262"/>
      <c r="GC36" s="262"/>
      <c r="GD36" s="262"/>
      <c r="GE36" s="262"/>
      <c r="GF36" s="262"/>
      <c r="GG36" s="262"/>
      <c r="GH36" s="262"/>
      <c r="GI36" s="262"/>
      <c r="GJ36" s="262"/>
      <c r="GK36" s="262"/>
      <c r="GL36" s="262"/>
      <c r="GM36" s="262"/>
      <c r="GN36" s="262"/>
      <c r="GO36" s="262"/>
      <c r="GP36" s="262"/>
      <c r="GQ36" s="262"/>
      <c r="GR36" s="262"/>
      <c r="GS36" s="262"/>
      <c r="GT36" s="262"/>
      <c r="GU36" s="262"/>
      <c r="GV36" s="262"/>
      <c r="GW36" s="262"/>
    </row>
    <row r="37" spans="1:205" ht="15" x14ac:dyDescent="0.25">
      <c r="A37" s="52" t="str">
        <f>IF(COUNTBLANK(B37)=1," ",COUNTA($B$12:B37))</f>
        <v xml:space="preserve"> </v>
      </c>
      <c r="B37" s="264"/>
      <c r="C37" s="283" t="s">
        <v>18</v>
      </c>
      <c r="D37" s="284"/>
      <c r="E37" s="284"/>
      <c r="F37" s="284"/>
      <c r="G37" s="282" t="s">
        <v>32</v>
      </c>
      <c r="H37" s="273">
        <f>ROUNDUP(H36*I37,0)</f>
        <v>1031</v>
      </c>
      <c r="I37" s="273">
        <v>2.6</v>
      </c>
      <c r="J37" s="499"/>
      <c r="K37" s="499"/>
      <c r="L37" s="499"/>
      <c r="M37" s="499"/>
      <c r="N37" s="499"/>
      <c r="O37" s="314"/>
      <c r="P37" s="315"/>
      <c r="Q37" s="315"/>
      <c r="R37" s="315"/>
      <c r="S37" s="315"/>
      <c r="T37" s="315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262"/>
      <c r="BJ37" s="262"/>
      <c r="BK37" s="262"/>
      <c r="BL37" s="262"/>
      <c r="BM37" s="262"/>
      <c r="BN37" s="262"/>
      <c r="BO37" s="262"/>
      <c r="BP37" s="262"/>
      <c r="BQ37" s="262"/>
      <c r="BR37" s="262"/>
      <c r="BS37" s="262"/>
      <c r="BT37" s="262"/>
      <c r="BU37" s="262"/>
      <c r="BV37" s="262"/>
      <c r="BW37" s="262"/>
      <c r="BX37" s="262"/>
      <c r="BY37" s="262"/>
      <c r="BZ37" s="262"/>
      <c r="CA37" s="262"/>
      <c r="CB37" s="262"/>
      <c r="CC37" s="262"/>
      <c r="CD37" s="262"/>
      <c r="CE37" s="262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62"/>
      <c r="CQ37" s="262"/>
      <c r="CR37" s="262"/>
      <c r="CS37" s="262"/>
      <c r="CT37" s="262"/>
      <c r="CU37" s="262"/>
      <c r="CV37" s="262"/>
      <c r="CW37" s="262"/>
      <c r="CX37" s="262"/>
      <c r="CY37" s="262"/>
      <c r="CZ37" s="262"/>
      <c r="DA37" s="262"/>
      <c r="DB37" s="262"/>
      <c r="DC37" s="262"/>
      <c r="DD37" s="262"/>
      <c r="DE37" s="262"/>
      <c r="DF37" s="262"/>
      <c r="DG37" s="262"/>
      <c r="DH37" s="262"/>
      <c r="DI37" s="262"/>
      <c r="DJ37" s="262"/>
      <c r="DK37" s="262"/>
      <c r="DL37" s="262"/>
      <c r="DM37" s="262"/>
      <c r="DN37" s="262"/>
      <c r="DO37" s="262"/>
      <c r="DP37" s="262"/>
      <c r="DQ37" s="262"/>
      <c r="DR37" s="262"/>
      <c r="DS37" s="262"/>
      <c r="DT37" s="262"/>
      <c r="DU37" s="262"/>
      <c r="DV37" s="262"/>
      <c r="DW37" s="262"/>
      <c r="DX37" s="262"/>
      <c r="DY37" s="262"/>
      <c r="DZ37" s="262"/>
      <c r="EA37" s="262"/>
      <c r="EB37" s="262"/>
      <c r="EC37" s="262"/>
      <c r="ED37" s="262"/>
      <c r="EE37" s="262"/>
      <c r="EF37" s="262"/>
      <c r="EG37" s="262"/>
      <c r="EH37" s="262"/>
      <c r="EI37" s="262"/>
      <c r="EJ37" s="262"/>
      <c r="EK37" s="262"/>
      <c r="EL37" s="262"/>
      <c r="EM37" s="262"/>
      <c r="EN37" s="262"/>
      <c r="EO37" s="262"/>
      <c r="EP37" s="262"/>
      <c r="EQ37" s="262"/>
      <c r="ER37" s="262"/>
      <c r="ES37" s="262"/>
      <c r="ET37" s="262"/>
      <c r="EU37" s="262"/>
      <c r="EV37" s="262"/>
      <c r="EW37" s="262"/>
      <c r="EX37" s="262"/>
      <c r="EY37" s="262"/>
      <c r="EZ37" s="262"/>
      <c r="FA37" s="262"/>
      <c r="FB37" s="262"/>
      <c r="FC37" s="262"/>
      <c r="FD37" s="262"/>
      <c r="FE37" s="262"/>
      <c r="FF37" s="262"/>
      <c r="FG37" s="262"/>
      <c r="FH37" s="262"/>
      <c r="FI37" s="262"/>
      <c r="FJ37" s="262"/>
      <c r="FK37" s="262"/>
      <c r="FL37" s="262"/>
      <c r="FM37" s="262"/>
      <c r="FN37" s="262"/>
      <c r="FO37" s="262"/>
      <c r="FP37" s="262"/>
      <c r="FQ37" s="262"/>
      <c r="FR37" s="262"/>
      <c r="FS37" s="262"/>
      <c r="FT37" s="262"/>
      <c r="FU37" s="262"/>
      <c r="FV37" s="262"/>
      <c r="FW37" s="262"/>
      <c r="FX37" s="262"/>
      <c r="FY37" s="262"/>
      <c r="FZ37" s="262"/>
      <c r="GA37" s="262"/>
      <c r="GB37" s="262"/>
      <c r="GC37" s="262"/>
      <c r="GD37" s="262"/>
      <c r="GE37" s="262"/>
      <c r="GF37" s="262"/>
      <c r="GG37" s="262"/>
      <c r="GH37" s="262"/>
      <c r="GI37" s="262"/>
      <c r="GJ37" s="262"/>
      <c r="GK37" s="262"/>
      <c r="GL37" s="262"/>
      <c r="GM37" s="262"/>
      <c r="GN37" s="262"/>
      <c r="GO37" s="262"/>
      <c r="GP37" s="262"/>
      <c r="GQ37" s="262"/>
      <c r="GR37" s="262"/>
      <c r="GS37" s="262"/>
      <c r="GT37" s="262"/>
      <c r="GU37" s="262"/>
      <c r="GV37" s="262"/>
      <c r="GW37" s="262"/>
    </row>
    <row r="38" spans="1:205" ht="15" x14ac:dyDescent="0.25">
      <c r="A38" s="52" t="str">
        <f>IF(COUNTBLANK(B38)=1," ",COUNTA($B$12:B38))</f>
        <v xml:space="preserve"> </v>
      </c>
      <c r="B38" s="264"/>
      <c r="C38" s="285" t="s">
        <v>19</v>
      </c>
      <c r="D38" s="285"/>
      <c r="E38" s="285"/>
      <c r="F38" s="285"/>
      <c r="G38" s="282" t="s">
        <v>32</v>
      </c>
      <c r="H38" s="274">
        <f>ROUNDUP(H36*I38,0)</f>
        <v>793</v>
      </c>
      <c r="I38" s="274">
        <v>2</v>
      </c>
      <c r="J38" s="499"/>
      <c r="K38" s="499"/>
      <c r="L38" s="499"/>
      <c r="M38" s="499"/>
      <c r="N38" s="499"/>
      <c r="O38" s="314"/>
      <c r="P38" s="315"/>
      <c r="Q38" s="315"/>
      <c r="R38" s="315"/>
      <c r="S38" s="315"/>
      <c r="T38" s="315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2"/>
      <c r="BN38" s="262"/>
      <c r="BO38" s="262"/>
      <c r="BP38" s="262"/>
      <c r="BQ38" s="262"/>
      <c r="BR38" s="262"/>
      <c r="BS38" s="262"/>
      <c r="BT38" s="262"/>
      <c r="BU38" s="262"/>
      <c r="BV38" s="262"/>
      <c r="BW38" s="262"/>
      <c r="BX38" s="262"/>
      <c r="BY38" s="262"/>
      <c r="BZ38" s="262"/>
      <c r="CA38" s="262"/>
      <c r="CB38" s="262"/>
      <c r="CC38" s="262"/>
      <c r="CD38" s="262"/>
      <c r="CE38" s="262"/>
      <c r="CF38" s="262"/>
      <c r="CG38" s="262"/>
      <c r="CH38" s="262"/>
      <c r="CI38" s="262"/>
      <c r="CJ38" s="262"/>
      <c r="CK38" s="262"/>
      <c r="CL38" s="262"/>
      <c r="CM38" s="262"/>
      <c r="CN38" s="262"/>
      <c r="CO38" s="262"/>
      <c r="CP38" s="262"/>
      <c r="CQ38" s="262"/>
      <c r="CR38" s="262"/>
      <c r="CS38" s="262"/>
      <c r="CT38" s="262"/>
      <c r="CU38" s="262"/>
      <c r="CV38" s="262"/>
      <c r="CW38" s="262"/>
      <c r="CX38" s="262"/>
      <c r="CY38" s="262"/>
      <c r="CZ38" s="262"/>
      <c r="DA38" s="262"/>
      <c r="DB38" s="262"/>
      <c r="DC38" s="262"/>
      <c r="DD38" s="262"/>
      <c r="DE38" s="262"/>
      <c r="DF38" s="262"/>
      <c r="DG38" s="262"/>
      <c r="DH38" s="262"/>
      <c r="DI38" s="262"/>
      <c r="DJ38" s="262"/>
      <c r="DK38" s="262"/>
      <c r="DL38" s="262"/>
      <c r="DM38" s="262"/>
      <c r="DN38" s="262"/>
      <c r="DO38" s="262"/>
      <c r="DP38" s="262"/>
      <c r="DQ38" s="262"/>
      <c r="DR38" s="262"/>
      <c r="DS38" s="262"/>
      <c r="DT38" s="262"/>
      <c r="DU38" s="262"/>
      <c r="DV38" s="262"/>
      <c r="DW38" s="262"/>
      <c r="DX38" s="262"/>
      <c r="DY38" s="262"/>
      <c r="DZ38" s="262"/>
      <c r="EA38" s="262"/>
      <c r="EB38" s="262"/>
      <c r="EC38" s="262"/>
      <c r="ED38" s="262"/>
      <c r="EE38" s="262"/>
      <c r="EF38" s="262"/>
      <c r="EG38" s="262"/>
      <c r="EH38" s="262"/>
      <c r="EI38" s="262"/>
      <c r="EJ38" s="262"/>
      <c r="EK38" s="262"/>
      <c r="EL38" s="262"/>
      <c r="EM38" s="262"/>
      <c r="EN38" s="262"/>
      <c r="EO38" s="262"/>
      <c r="EP38" s="262"/>
      <c r="EQ38" s="262"/>
      <c r="ER38" s="262"/>
      <c r="ES38" s="262"/>
      <c r="ET38" s="262"/>
      <c r="EU38" s="262"/>
      <c r="EV38" s="262"/>
      <c r="EW38" s="262"/>
      <c r="EX38" s="262"/>
      <c r="EY38" s="262"/>
      <c r="EZ38" s="262"/>
      <c r="FA38" s="262"/>
      <c r="FB38" s="262"/>
      <c r="FC38" s="262"/>
      <c r="FD38" s="262"/>
      <c r="FE38" s="262"/>
      <c r="FF38" s="262"/>
      <c r="FG38" s="262"/>
      <c r="FH38" s="262"/>
      <c r="FI38" s="262"/>
      <c r="FJ38" s="262"/>
      <c r="FK38" s="262"/>
      <c r="FL38" s="262"/>
      <c r="FM38" s="262"/>
      <c r="FN38" s="262"/>
      <c r="FO38" s="262"/>
      <c r="FP38" s="262"/>
      <c r="FQ38" s="262"/>
      <c r="FR38" s="262"/>
      <c r="FS38" s="262"/>
      <c r="FT38" s="262"/>
      <c r="FU38" s="262"/>
      <c r="FV38" s="262"/>
      <c r="FW38" s="262"/>
      <c r="FX38" s="262"/>
      <c r="FY38" s="262"/>
      <c r="FZ38" s="262"/>
      <c r="GA38" s="262"/>
      <c r="GB38" s="262"/>
      <c r="GC38" s="262"/>
      <c r="GD38" s="262"/>
      <c r="GE38" s="262"/>
      <c r="GF38" s="262"/>
      <c r="GG38" s="262"/>
      <c r="GH38" s="262"/>
      <c r="GI38" s="262"/>
      <c r="GJ38" s="262"/>
      <c r="GK38" s="262"/>
      <c r="GL38" s="262"/>
      <c r="GM38" s="262"/>
      <c r="GN38" s="262"/>
      <c r="GO38" s="262"/>
      <c r="GP38" s="262"/>
      <c r="GQ38" s="262"/>
      <c r="GR38" s="262"/>
      <c r="GS38" s="262"/>
      <c r="GT38" s="262"/>
      <c r="GU38" s="262"/>
      <c r="GV38" s="262"/>
      <c r="GW38" s="262"/>
    </row>
    <row r="39" spans="1:205" ht="15" x14ac:dyDescent="0.25">
      <c r="A39" s="52" t="str">
        <f>IF(COUNTBLANK(B39)=1," ",COUNTA($B$12:B39))</f>
        <v xml:space="preserve"> </v>
      </c>
      <c r="B39" s="264"/>
      <c r="C39" s="283" t="s">
        <v>20</v>
      </c>
      <c r="D39" s="283"/>
      <c r="E39" s="283"/>
      <c r="F39" s="283"/>
      <c r="G39" s="264" t="s">
        <v>52</v>
      </c>
      <c r="H39" s="274">
        <f>ROUNDUP(H36*I39,0)</f>
        <v>159</v>
      </c>
      <c r="I39" s="274">
        <v>0.4</v>
      </c>
      <c r="J39" s="499"/>
      <c r="K39" s="499"/>
      <c r="L39" s="499"/>
      <c r="M39" s="499"/>
      <c r="N39" s="499"/>
      <c r="O39" s="314"/>
      <c r="P39" s="315"/>
      <c r="Q39" s="315"/>
      <c r="R39" s="315"/>
      <c r="S39" s="315"/>
      <c r="T39" s="315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262"/>
      <c r="BE39" s="262"/>
      <c r="BF39" s="262"/>
      <c r="BG39" s="262"/>
      <c r="BH39" s="262"/>
      <c r="BI39" s="262"/>
      <c r="BJ39" s="262"/>
      <c r="BK39" s="262"/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262"/>
      <c r="BY39" s="262"/>
      <c r="BZ39" s="262"/>
      <c r="CA39" s="262"/>
      <c r="CB39" s="262"/>
      <c r="CC39" s="262"/>
      <c r="CD39" s="262"/>
      <c r="CE39" s="262"/>
      <c r="CF39" s="262"/>
      <c r="CG39" s="262"/>
      <c r="CH39" s="262"/>
      <c r="CI39" s="262"/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62"/>
      <c r="DE39" s="262"/>
      <c r="DF39" s="262"/>
      <c r="DG39" s="262"/>
      <c r="DH39" s="262"/>
      <c r="DI39" s="262"/>
      <c r="DJ39" s="262"/>
      <c r="DK39" s="262"/>
      <c r="DL39" s="262"/>
      <c r="DM39" s="262"/>
      <c r="DN39" s="262"/>
      <c r="DO39" s="262"/>
      <c r="DP39" s="262"/>
      <c r="DQ39" s="262"/>
      <c r="DR39" s="262"/>
      <c r="DS39" s="262"/>
      <c r="DT39" s="262"/>
      <c r="DU39" s="262"/>
      <c r="DV39" s="262"/>
      <c r="DW39" s="262"/>
      <c r="DX39" s="262"/>
      <c r="DY39" s="262"/>
      <c r="DZ39" s="262"/>
      <c r="EA39" s="262"/>
      <c r="EB39" s="262"/>
      <c r="EC39" s="262"/>
      <c r="ED39" s="262"/>
      <c r="EE39" s="262"/>
      <c r="EF39" s="262"/>
      <c r="EG39" s="262"/>
      <c r="EH39" s="262"/>
      <c r="EI39" s="262"/>
      <c r="EJ39" s="262"/>
      <c r="EK39" s="262"/>
      <c r="EL39" s="262"/>
      <c r="EM39" s="262"/>
      <c r="EN39" s="262"/>
      <c r="EO39" s="262"/>
      <c r="EP39" s="262"/>
      <c r="EQ39" s="262"/>
      <c r="ER39" s="262"/>
      <c r="ES39" s="262"/>
      <c r="ET39" s="262"/>
      <c r="EU39" s="262"/>
      <c r="EV39" s="262"/>
      <c r="EW39" s="262"/>
      <c r="EX39" s="262"/>
      <c r="EY39" s="262"/>
      <c r="EZ39" s="262"/>
      <c r="FA39" s="262"/>
      <c r="FB39" s="262"/>
      <c r="FC39" s="262"/>
      <c r="FD39" s="262"/>
      <c r="FE39" s="262"/>
      <c r="FF39" s="262"/>
      <c r="FG39" s="262"/>
      <c r="FH39" s="262"/>
      <c r="FI39" s="262"/>
      <c r="FJ39" s="262"/>
      <c r="FK39" s="262"/>
      <c r="FL39" s="262"/>
      <c r="FM39" s="262"/>
      <c r="FN39" s="262"/>
      <c r="FO39" s="262"/>
      <c r="FP39" s="262"/>
      <c r="FQ39" s="262"/>
      <c r="FR39" s="262"/>
      <c r="FS39" s="262"/>
      <c r="FT39" s="262"/>
      <c r="FU39" s="262"/>
      <c r="FV39" s="262"/>
      <c r="FW39" s="262"/>
      <c r="FX39" s="262"/>
      <c r="FY39" s="262"/>
      <c r="FZ39" s="262"/>
      <c r="GA39" s="262"/>
      <c r="GB39" s="262"/>
      <c r="GC39" s="262"/>
      <c r="GD39" s="262"/>
      <c r="GE39" s="262"/>
      <c r="GF39" s="262"/>
      <c r="GG39" s="262"/>
      <c r="GH39" s="262"/>
      <c r="GI39" s="262"/>
      <c r="GJ39" s="262"/>
      <c r="GK39" s="262"/>
      <c r="GL39" s="262"/>
      <c r="GM39" s="262"/>
      <c r="GN39" s="262"/>
      <c r="GO39" s="262"/>
      <c r="GP39" s="262"/>
      <c r="GQ39" s="262"/>
      <c r="GR39" s="262"/>
      <c r="GS39" s="262"/>
      <c r="GT39" s="262"/>
      <c r="GU39" s="262"/>
      <c r="GV39" s="262"/>
      <c r="GW39" s="262"/>
    </row>
    <row r="40" spans="1:205" ht="15" x14ac:dyDescent="0.25">
      <c r="A40" s="52" t="str">
        <f>IF(COUNTBLANK(B40)=1," ",COUNTA($B$12:B40))</f>
        <v xml:space="preserve"> </v>
      </c>
      <c r="B40" s="264"/>
      <c r="C40" s="283" t="s">
        <v>21</v>
      </c>
      <c r="D40" s="283"/>
      <c r="E40" s="283"/>
      <c r="F40" s="283"/>
      <c r="G40" s="282" t="s">
        <v>32</v>
      </c>
      <c r="H40" s="274">
        <f>ROUNDUP(H36*I40,0)</f>
        <v>991</v>
      </c>
      <c r="I40" s="274">
        <v>2.5</v>
      </c>
      <c r="J40" s="502"/>
      <c r="K40" s="502"/>
      <c r="L40" s="503"/>
      <c r="M40" s="503"/>
      <c r="N40" s="502"/>
      <c r="O40" s="314"/>
      <c r="P40" s="315"/>
      <c r="Q40" s="315"/>
      <c r="R40" s="315"/>
      <c r="S40" s="315"/>
      <c r="T40" s="315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  <c r="BR40" s="262"/>
      <c r="BS40" s="262"/>
      <c r="BT40" s="262"/>
      <c r="BU40" s="262"/>
      <c r="BV40" s="262"/>
      <c r="BW40" s="262"/>
      <c r="BX40" s="262"/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262"/>
      <c r="DH40" s="262"/>
      <c r="DI40" s="262"/>
      <c r="DJ40" s="262"/>
      <c r="DK40" s="262"/>
      <c r="DL40" s="262"/>
      <c r="DM40" s="262"/>
      <c r="DN40" s="262"/>
      <c r="DO40" s="262"/>
      <c r="DP40" s="262"/>
      <c r="DQ40" s="262"/>
      <c r="DR40" s="262"/>
      <c r="DS40" s="262"/>
      <c r="DT40" s="262"/>
      <c r="DU40" s="262"/>
      <c r="DV40" s="262"/>
      <c r="DW40" s="262"/>
      <c r="DX40" s="262"/>
      <c r="DY40" s="262"/>
      <c r="DZ40" s="262"/>
      <c r="EA40" s="262"/>
      <c r="EB40" s="262"/>
      <c r="EC40" s="262"/>
      <c r="ED40" s="262"/>
      <c r="EE40" s="262"/>
      <c r="EF40" s="262"/>
      <c r="EG40" s="262"/>
      <c r="EH40" s="262"/>
      <c r="EI40" s="262"/>
      <c r="EJ40" s="262"/>
      <c r="EK40" s="262"/>
      <c r="EL40" s="262"/>
      <c r="EM40" s="262"/>
      <c r="EN40" s="262"/>
      <c r="EO40" s="262"/>
      <c r="EP40" s="262"/>
      <c r="EQ40" s="262"/>
      <c r="ER40" s="262"/>
      <c r="ES40" s="262"/>
      <c r="ET40" s="262"/>
      <c r="EU40" s="262"/>
      <c r="EV40" s="262"/>
      <c r="EW40" s="262"/>
      <c r="EX40" s="262"/>
      <c r="EY40" s="262"/>
      <c r="EZ40" s="262"/>
      <c r="FA40" s="262"/>
      <c r="FB40" s="262"/>
      <c r="FC40" s="262"/>
      <c r="FD40" s="262"/>
      <c r="FE40" s="262"/>
      <c r="FF40" s="262"/>
      <c r="FG40" s="262"/>
      <c r="FH40" s="262"/>
      <c r="FI40" s="262"/>
      <c r="FJ40" s="262"/>
      <c r="FK40" s="262"/>
      <c r="FL40" s="262"/>
      <c r="FM40" s="262"/>
      <c r="FN40" s="262"/>
      <c r="FO40" s="262"/>
      <c r="FP40" s="262"/>
      <c r="FQ40" s="262"/>
      <c r="FR40" s="262"/>
      <c r="FS40" s="262"/>
      <c r="FT40" s="262"/>
      <c r="FU40" s="262"/>
      <c r="FV40" s="262"/>
      <c r="FW40" s="262"/>
      <c r="FX40" s="262"/>
      <c r="FY40" s="262"/>
      <c r="FZ40" s="262"/>
      <c r="GA40" s="262"/>
      <c r="GB40" s="262"/>
      <c r="GC40" s="262"/>
      <c r="GD40" s="262"/>
      <c r="GE40" s="262"/>
      <c r="GF40" s="262"/>
      <c r="GG40" s="262"/>
      <c r="GH40" s="262"/>
      <c r="GI40" s="262"/>
      <c r="GJ40" s="262"/>
      <c r="GK40" s="262"/>
      <c r="GL40" s="262"/>
      <c r="GM40" s="262"/>
      <c r="GN40" s="262"/>
      <c r="GO40" s="262"/>
      <c r="GP40" s="262"/>
      <c r="GQ40" s="262"/>
      <c r="GR40" s="262"/>
      <c r="GS40" s="262"/>
      <c r="GT40" s="262"/>
      <c r="GU40" s="262"/>
      <c r="GV40" s="262"/>
      <c r="GW40" s="262"/>
    </row>
    <row r="41" spans="1:205" ht="15" x14ac:dyDescent="0.25">
      <c r="A41" s="52" t="str">
        <f>IF(COUNTBLANK(B41)=1," ",COUNTA($B$12:B41))</f>
        <v xml:space="preserve"> </v>
      </c>
      <c r="B41" s="264"/>
      <c r="C41" s="283" t="s">
        <v>213</v>
      </c>
      <c r="D41" s="283"/>
      <c r="E41" s="283"/>
      <c r="F41" s="283"/>
      <c r="G41" s="264" t="s">
        <v>52</v>
      </c>
      <c r="H41" s="274">
        <f>ROUNDUP(H36*I41,2)</f>
        <v>99.08</v>
      </c>
      <c r="I41" s="274">
        <v>0.25</v>
      </c>
      <c r="J41" s="500"/>
      <c r="K41" s="500"/>
      <c r="L41" s="499"/>
      <c r="M41" s="499"/>
      <c r="N41" s="500"/>
      <c r="O41" s="314"/>
      <c r="P41" s="315"/>
      <c r="Q41" s="315"/>
      <c r="R41" s="315"/>
      <c r="S41" s="315"/>
      <c r="T41" s="315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2"/>
      <c r="BN41" s="262"/>
      <c r="BO41" s="262"/>
      <c r="BP41" s="262"/>
      <c r="BQ41" s="262"/>
      <c r="BR41" s="262"/>
      <c r="BS41" s="262"/>
      <c r="BT41" s="262"/>
      <c r="BU41" s="262"/>
      <c r="BV41" s="262"/>
      <c r="BW41" s="262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262"/>
      <c r="DH41" s="262"/>
      <c r="DI41" s="262"/>
      <c r="DJ41" s="262"/>
      <c r="DK41" s="262"/>
      <c r="DL41" s="262"/>
      <c r="DM41" s="262"/>
      <c r="DN41" s="262"/>
      <c r="DO41" s="262"/>
      <c r="DP41" s="262"/>
      <c r="DQ41" s="262"/>
      <c r="DR41" s="262"/>
      <c r="DS41" s="262"/>
      <c r="DT41" s="262"/>
      <c r="DU41" s="262"/>
      <c r="DV41" s="262"/>
      <c r="DW41" s="262"/>
      <c r="DX41" s="262"/>
      <c r="DY41" s="262"/>
      <c r="DZ41" s="262"/>
      <c r="EA41" s="262"/>
      <c r="EB41" s="262"/>
      <c r="EC41" s="262"/>
      <c r="ED41" s="262"/>
      <c r="EE41" s="262"/>
      <c r="EF41" s="262"/>
      <c r="EG41" s="262"/>
      <c r="EH41" s="262"/>
      <c r="EI41" s="262"/>
      <c r="EJ41" s="262"/>
      <c r="EK41" s="262"/>
      <c r="EL41" s="262"/>
      <c r="EM41" s="262"/>
      <c r="EN41" s="262"/>
      <c r="EO41" s="262"/>
      <c r="EP41" s="262"/>
      <c r="EQ41" s="262"/>
      <c r="ER41" s="262"/>
      <c r="ES41" s="262"/>
      <c r="ET41" s="262"/>
      <c r="EU41" s="262"/>
      <c r="EV41" s="262"/>
      <c r="EW41" s="262"/>
      <c r="EX41" s="262"/>
      <c r="EY41" s="262"/>
      <c r="EZ41" s="262"/>
      <c r="FA41" s="262"/>
      <c r="FB41" s="262"/>
      <c r="FC41" s="262"/>
      <c r="FD41" s="262"/>
      <c r="FE41" s="262"/>
      <c r="FF41" s="262"/>
      <c r="FG41" s="262"/>
      <c r="FH41" s="262"/>
      <c r="FI41" s="262"/>
      <c r="FJ41" s="262"/>
      <c r="FK41" s="262"/>
      <c r="FL41" s="262"/>
      <c r="FM41" s="262"/>
      <c r="FN41" s="262"/>
      <c r="FO41" s="262"/>
      <c r="FP41" s="262"/>
      <c r="FQ41" s="262"/>
      <c r="FR41" s="262"/>
      <c r="FS41" s="262"/>
      <c r="FT41" s="262"/>
      <c r="FU41" s="262"/>
      <c r="FV41" s="262"/>
      <c r="FW41" s="262"/>
      <c r="FX41" s="262"/>
      <c r="FY41" s="262"/>
      <c r="FZ41" s="262"/>
      <c r="GA41" s="262"/>
      <c r="GB41" s="262"/>
      <c r="GC41" s="262"/>
      <c r="GD41" s="262"/>
      <c r="GE41" s="262"/>
      <c r="GF41" s="262"/>
      <c r="GG41" s="262"/>
      <c r="GH41" s="262"/>
      <c r="GI41" s="262"/>
      <c r="GJ41" s="262"/>
      <c r="GK41" s="262"/>
      <c r="GL41" s="262"/>
      <c r="GM41" s="262"/>
      <c r="GN41" s="262"/>
      <c r="GO41" s="262"/>
      <c r="GP41" s="262"/>
      <c r="GQ41" s="262"/>
      <c r="GR41" s="262"/>
      <c r="GS41" s="262"/>
      <c r="GT41" s="262"/>
      <c r="GU41" s="262"/>
      <c r="GV41" s="262"/>
      <c r="GW41" s="262"/>
    </row>
    <row r="42" spans="1:205" ht="15" x14ac:dyDescent="0.25">
      <c r="A42" s="52" t="str">
        <f>IF(COUNTBLANK(B42)=1," ",COUNTA($B$12:B42))</f>
        <v xml:space="preserve"> </v>
      </c>
      <c r="B42" s="264"/>
      <c r="C42" s="283" t="s">
        <v>22</v>
      </c>
      <c r="D42" s="283"/>
      <c r="E42" s="283"/>
      <c r="F42" s="283"/>
      <c r="G42" s="264" t="s">
        <v>16</v>
      </c>
      <c r="H42" s="274">
        <f>ROUNDUP(H37*I42,2)</f>
        <v>659.84</v>
      </c>
      <c r="I42" s="274">
        <v>0.64</v>
      </c>
      <c r="J42" s="504"/>
      <c r="K42" s="504"/>
      <c r="L42" s="498"/>
      <c r="M42" s="498"/>
      <c r="N42" s="504"/>
      <c r="O42" s="314"/>
      <c r="P42" s="315"/>
      <c r="Q42" s="315"/>
      <c r="R42" s="315"/>
      <c r="S42" s="315"/>
      <c r="T42" s="315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2"/>
      <c r="BD42" s="262"/>
      <c r="BE42" s="262"/>
      <c r="BF42" s="262"/>
      <c r="BG42" s="262"/>
      <c r="BH42" s="262"/>
      <c r="BI42" s="262"/>
      <c r="BJ42" s="262"/>
      <c r="BK42" s="262"/>
      <c r="BL42" s="262"/>
      <c r="BM42" s="262"/>
      <c r="BN42" s="262"/>
      <c r="BO42" s="262"/>
      <c r="BP42" s="262"/>
      <c r="BQ42" s="262"/>
      <c r="BR42" s="262"/>
      <c r="BS42" s="262"/>
      <c r="BT42" s="262"/>
      <c r="BU42" s="262"/>
      <c r="BV42" s="262"/>
      <c r="BW42" s="262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262"/>
      <c r="CP42" s="262"/>
      <c r="CQ42" s="262"/>
      <c r="CR42" s="262"/>
      <c r="CS42" s="262"/>
      <c r="CT42" s="262"/>
      <c r="CU42" s="262"/>
      <c r="CV42" s="262"/>
      <c r="CW42" s="262"/>
      <c r="CX42" s="262"/>
      <c r="CY42" s="262"/>
      <c r="CZ42" s="262"/>
      <c r="DA42" s="262"/>
      <c r="DB42" s="262"/>
      <c r="DC42" s="262"/>
      <c r="DD42" s="262"/>
      <c r="DE42" s="262"/>
      <c r="DF42" s="262"/>
      <c r="DG42" s="262"/>
      <c r="DH42" s="262"/>
      <c r="DI42" s="262"/>
      <c r="DJ42" s="262"/>
      <c r="DK42" s="262"/>
      <c r="DL42" s="262"/>
      <c r="DM42" s="262"/>
      <c r="DN42" s="262"/>
      <c r="DO42" s="262"/>
      <c r="DP42" s="262"/>
      <c r="DQ42" s="262"/>
      <c r="DR42" s="262"/>
      <c r="DS42" s="262"/>
      <c r="DT42" s="262"/>
      <c r="DU42" s="262"/>
      <c r="DV42" s="262"/>
      <c r="DW42" s="262"/>
      <c r="DX42" s="262"/>
      <c r="DY42" s="262"/>
      <c r="DZ42" s="262"/>
      <c r="EA42" s="262"/>
      <c r="EB42" s="262"/>
      <c r="EC42" s="262"/>
      <c r="ED42" s="262"/>
      <c r="EE42" s="262"/>
      <c r="EF42" s="262"/>
      <c r="EG42" s="262"/>
      <c r="EH42" s="262"/>
      <c r="EI42" s="262"/>
      <c r="EJ42" s="262"/>
      <c r="EK42" s="262"/>
      <c r="EL42" s="262"/>
      <c r="EM42" s="262"/>
      <c r="EN42" s="262"/>
      <c r="EO42" s="262"/>
      <c r="EP42" s="262"/>
      <c r="EQ42" s="262"/>
      <c r="ER42" s="262"/>
      <c r="ES42" s="262"/>
      <c r="ET42" s="262"/>
      <c r="EU42" s="262"/>
      <c r="EV42" s="262"/>
      <c r="EW42" s="262"/>
      <c r="EX42" s="262"/>
      <c r="EY42" s="262"/>
      <c r="EZ42" s="262"/>
      <c r="FA42" s="262"/>
      <c r="FB42" s="262"/>
      <c r="FC42" s="262"/>
      <c r="FD42" s="262"/>
      <c r="FE42" s="262"/>
      <c r="FF42" s="262"/>
      <c r="FG42" s="262"/>
      <c r="FH42" s="262"/>
      <c r="FI42" s="262"/>
      <c r="FJ42" s="262"/>
      <c r="FK42" s="262"/>
      <c r="FL42" s="262"/>
      <c r="FM42" s="262"/>
      <c r="FN42" s="262"/>
      <c r="FO42" s="262"/>
      <c r="FP42" s="262"/>
      <c r="FQ42" s="262"/>
      <c r="FR42" s="262"/>
      <c r="FS42" s="262"/>
      <c r="FT42" s="262"/>
      <c r="FU42" s="262"/>
      <c r="FV42" s="262"/>
      <c r="FW42" s="262"/>
      <c r="FX42" s="262"/>
      <c r="FY42" s="262"/>
      <c r="FZ42" s="262"/>
      <c r="GA42" s="262"/>
      <c r="GB42" s="262"/>
      <c r="GC42" s="262"/>
      <c r="GD42" s="262"/>
      <c r="GE42" s="262"/>
      <c r="GF42" s="262"/>
      <c r="GG42" s="262"/>
      <c r="GH42" s="262"/>
      <c r="GI42" s="262"/>
      <c r="GJ42" s="262"/>
      <c r="GK42" s="262"/>
      <c r="GL42" s="262"/>
      <c r="GM42" s="262"/>
      <c r="GN42" s="262"/>
      <c r="GO42" s="262"/>
      <c r="GP42" s="262"/>
      <c r="GQ42" s="262"/>
      <c r="GR42" s="262"/>
      <c r="GS42" s="262"/>
      <c r="GT42" s="262"/>
      <c r="GU42" s="262"/>
      <c r="GV42" s="262"/>
      <c r="GW42" s="262"/>
    </row>
    <row r="43" spans="1:205" ht="67.5" x14ac:dyDescent="0.25">
      <c r="A43" s="52" t="str">
        <f>IF(COUNTBLANK(B43)=1," ",COUNTA($B$12:B43))</f>
        <v xml:space="preserve"> </v>
      </c>
      <c r="B43" s="13"/>
      <c r="C43" s="52" t="s">
        <v>190</v>
      </c>
      <c r="D43" s="57"/>
      <c r="E43" s="57"/>
      <c r="F43" s="57"/>
      <c r="G43" s="57"/>
      <c r="H43" s="86"/>
      <c r="I43" s="34"/>
      <c r="J43" s="34"/>
      <c r="K43" s="271"/>
      <c r="L43" s="34"/>
      <c r="M43" s="34"/>
      <c r="N43" s="34"/>
      <c r="O43" s="314"/>
      <c r="P43" s="315"/>
      <c r="Q43" s="315"/>
      <c r="R43" s="315"/>
      <c r="S43" s="315"/>
      <c r="T43" s="315"/>
    </row>
    <row r="44" spans="1:205" x14ac:dyDescent="0.25">
      <c r="A44" s="52">
        <f>IF(COUNTBLANK(B44)=1," ",COUNTA($B$12:B44))</f>
        <v>23</v>
      </c>
      <c r="B44" s="13" t="s">
        <v>14</v>
      </c>
      <c r="C44" s="222" t="str">
        <f>apjom!B63</f>
        <v>D1</v>
      </c>
      <c r="D44" s="57">
        <f>apjom!D63</f>
        <v>2</v>
      </c>
      <c r="E44" s="57">
        <f>apjom!F63</f>
        <v>1.27</v>
      </c>
      <c r="F44" s="57">
        <f>apjom!G63</f>
        <v>2.1</v>
      </c>
      <c r="G44" s="57" t="s">
        <v>17</v>
      </c>
      <c r="H44" s="34">
        <f>F44*E44*D44</f>
        <v>5.3340000000000005</v>
      </c>
      <c r="I44" s="34"/>
      <c r="J44" s="421"/>
      <c r="K44" s="499"/>
      <c r="L44" s="421"/>
      <c r="M44" s="505"/>
      <c r="N44" s="421"/>
      <c r="O44" s="314"/>
      <c r="P44" s="315"/>
      <c r="Q44" s="315"/>
      <c r="R44" s="315"/>
      <c r="S44" s="315"/>
      <c r="T44" s="315"/>
    </row>
    <row r="45" spans="1:205" x14ac:dyDescent="0.25">
      <c r="A45" s="52">
        <f>IF(COUNTBLANK(B45)=1," ",COUNTA($B$12:B45))</f>
        <v>24</v>
      </c>
      <c r="B45" s="13" t="s">
        <v>14</v>
      </c>
      <c r="C45" s="222" t="str">
        <f>apjom!B64</f>
        <v>D2</v>
      </c>
      <c r="D45" s="57">
        <f>apjom!D64</f>
        <v>0</v>
      </c>
      <c r="E45" s="57">
        <f>apjom!F64</f>
        <v>1.27</v>
      </c>
      <c r="F45" s="57">
        <f>apjom!G64</f>
        <v>2.1</v>
      </c>
      <c r="G45" s="57" t="s">
        <v>17</v>
      </c>
      <c r="H45" s="34">
        <f>F45*E45*D45</f>
        <v>0</v>
      </c>
      <c r="I45" s="34"/>
      <c r="J45" s="421"/>
      <c r="K45" s="499"/>
      <c r="L45" s="421"/>
      <c r="M45" s="505"/>
      <c r="N45" s="421"/>
      <c r="O45" s="314"/>
      <c r="P45" s="315"/>
      <c r="Q45" s="315"/>
      <c r="R45" s="315"/>
      <c r="S45" s="315"/>
      <c r="T45" s="315"/>
    </row>
    <row r="46" spans="1:205" x14ac:dyDescent="0.25">
      <c r="A46" s="52">
        <f>IF(COUNTBLANK(B46)=1," ",COUNTA($B$12:B46))</f>
        <v>25</v>
      </c>
      <c r="B46" s="13" t="s">
        <v>14</v>
      </c>
      <c r="C46" s="222" t="str">
        <f>apjom!B65</f>
        <v>D3</v>
      </c>
      <c r="D46" s="57">
        <f>apjom!D65</f>
        <v>0</v>
      </c>
      <c r="E46" s="57">
        <f>apjom!F65</f>
        <v>0.7</v>
      </c>
      <c r="F46" s="57">
        <f>apjom!G65</f>
        <v>2.1</v>
      </c>
      <c r="G46" s="57" t="s">
        <v>17</v>
      </c>
      <c r="H46" s="34">
        <f>F46*E46*D46</f>
        <v>0</v>
      </c>
      <c r="I46" s="34"/>
      <c r="J46" s="421"/>
      <c r="K46" s="499"/>
      <c r="L46" s="421"/>
      <c r="M46" s="505"/>
      <c r="N46" s="421"/>
      <c r="O46" s="314"/>
      <c r="P46" s="315"/>
      <c r="Q46" s="315"/>
      <c r="R46" s="315"/>
      <c r="S46" s="315"/>
      <c r="T46" s="315"/>
    </row>
    <row r="47" spans="1:205" x14ac:dyDescent="0.25">
      <c r="A47" s="52">
        <f>IF(COUNTBLANK(B47)=1," ",COUNTA($B$12:B47))</f>
        <v>26</v>
      </c>
      <c r="B47" s="13" t="s">
        <v>14</v>
      </c>
      <c r="C47" s="222" t="str">
        <f>apjom!B66</f>
        <v>D4</v>
      </c>
      <c r="D47" s="57">
        <f>apjom!D66</f>
        <v>18</v>
      </c>
      <c r="E47" s="57">
        <f>apjom!F66</f>
        <v>0.7</v>
      </c>
      <c r="F47" s="57">
        <f>apjom!G66</f>
        <v>2.1</v>
      </c>
      <c r="G47" s="57" t="s">
        <v>17</v>
      </c>
      <c r="H47" s="34">
        <f>F47*E47*D47</f>
        <v>26.46</v>
      </c>
      <c r="I47" s="34"/>
      <c r="J47" s="421"/>
      <c r="K47" s="499"/>
      <c r="L47" s="421"/>
      <c r="M47" s="505"/>
      <c r="N47" s="421"/>
      <c r="O47" s="314"/>
      <c r="P47" s="315"/>
      <c r="Q47" s="315"/>
      <c r="R47" s="315"/>
      <c r="S47" s="315"/>
      <c r="T47" s="315"/>
    </row>
    <row r="48" spans="1:205" x14ac:dyDescent="0.25">
      <c r="A48" s="52">
        <f>IF(COUNTBLANK(B48)=1," ",COUNTA($B$12:B48))</f>
        <v>27</v>
      </c>
      <c r="B48" s="13" t="s">
        <v>14</v>
      </c>
      <c r="C48" s="222" t="str">
        <f>apjom!B67</f>
        <v>D5</v>
      </c>
      <c r="D48" s="57">
        <f>apjom!D67</f>
        <v>2</v>
      </c>
      <c r="E48" s="57">
        <f>apjom!F67</f>
        <v>0.95</v>
      </c>
      <c r="F48" s="57">
        <f>apjom!G67</f>
        <v>1.9</v>
      </c>
      <c r="G48" s="57" t="s">
        <v>17</v>
      </c>
      <c r="H48" s="34">
        <f>F48*E48*D48</f>
        <v>3.61</v>
      </c>
      <c r="I48" s="34"/>
      <c r="J48" s="421"/>
      <c r="K48" s="499"/>
      <c r="L48" s="421"/>
      <c r="M48" s="505"/>
      <c r="N48" s="421"/>
      <c r="O48" s="314"/>
      <c r="P48" s="315"/>
      <c r="Q48" s="315"/>
      <c r="R48" s="315"/>
      <c r="S48" s="315"/>
      <c r="T48" s="315"/>
    </row>
    <row r="49" spans="1:205" ht="15" x14ac:dyDescent="0.25">
      <c r="A49" s="52">
        <f>IF(COUNTBLANK(B49)=1," ",COUNTA($B$12:B49))</f>
        <v>28</v>
      </c>
      <c r="B49" s="286" t="s">
        <v>14</v>
      </c>
      <c r="C49" s="285" t="s">
        <v>214</v>
      </c>
      <c r="D49" s="285"/>
      <c r="E49" s="285"/>
      <c r="F49" s="285"/>
      <c r="G49" s="264" t="s">
        <v>17</v>
      </c>
      <c r="H49" s="34">
        <f>SUM(H44:H48)</f>
        <v>35.404000000000003</v>
      </c>
      <c r="I49" s="274"/>
      <c r="J49" s="506"/>
      <c r="K49" s="499"/>
      <c r="L49" s="506"/>
      <c r="M49" s="507"/>
      <c r="N49" s="506"/>
      <c r="O49" s="314"/>
      <c r="P49" s="315"/>
      <c r="Q49" s="315"/>
      <c r="R49" s="315"/>
      <c r="S49" s="315"/>
      <c r="T49" s="315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262"/>
      <c r="BI49" s="262"/>
      <c r="BJ49" s="262"/>
      <c r="BK49" s="262"/>
      <c r="BL49" s="262"/>
      <c r="BM49" s="262"/>
      <c r="BN49" s="262"/>
      <c r="BO49" s="262"/>
      <c r="BP49" s="262"/>
      <c r="BQ49" s="262"/>
      <c r="BR49" s="262"/>
      <c r="BS49" s="262"/>
      <c r="BT49" s="262"/>
      <c r="BU49" s="262"/>
      <c r="BV49" s="262"/>
      <c r="BW49" s="262"/>
      <c r="BX49" s="262"/>
      <c r="BY49" s="262"/>
      <c r="BZ49" s="262"/>
      <c r="CA49" s="262"/>
      <c r="CB49" s="262"/>
      <c r="CC49" s="262"/>
      <c r="CD49" s="262"/>
      <c r="CE49" s="262"/>
      <c r="CF49" s="262"/>
      <c r="CG49" s="262"/>
      <c r="CH49" s="262"/>
      <c r="CI49" s="262"/>
      <c r="CJ49" s="262"/>
      <c r="CK49" s="262"/>
      <c r="CL49" s="262"/>
      <c r="CM49" s="262"/>
      <c r="CN49" s="262"/>
      <c r="CO49" s="262"/>
      <c r="CP49" s="262"/>
      <c r="CQ49" s="262"/>
      <c r="CR49" s="262"/>
      <c r="CS49" s="262"/>
      <c r="CT49" s="262"/>
      <c r="CU49" s="262"/>
      <c r="CV49" s="262"/>
      <c r="CW49" s="262"/>
      <c r="CX49" s="262"/>
      <c r="CY49" s="262"/>
      <c r="CZ49" s="262"/>
      <c r="DA49" s="262"/>
      <c r="DB49" s="262"/>
      <c r="DC49" s="262"/>
      <c r="DD49" s="262"/>
      <c r="DE49" s="262"/>
      <c r="DF49" s="262"/>
      <c r="DG49" s="262"/>
      <c r="DH49" s="262"/>
      <c r="DI49" s="262"/>
      <c r="DJ49" s="262"/>
      <c r="DK49" s="262"/>
      <c r="DL49" s="262"/>
      <c r="DM49" s="262"/>
      <c r="DN49" s="262"/>
      <c r="DO49" s="262"/>
      <c r="DP49" s="262"/>
      <c r="DQ49" s="262"/>
      <c r="DR49" s="262"/>
      <c r="DS49" s="262"/>
      <c r="DT49" s="262"/>
      <c r="DU49" s="262"/>
      <c r="DV49" s="262"/>
      <c r="DW49" s="262"/>
      <c r="DX49" s="262"/>
      <c r="DY49" s="262"/>
      <c r="DZ49" s="262"/>
      <c r="EA49" s="262"/>
      <c r="EB49" s="262"/>
      <c r="EC49" s="262"/>
      <c r="ED49" s="262"/>
      <c r="EE49" s="262"/>
      <c r="EF49" s="262"/>
      <c r="EG49" s="262"/>
      <c r="EH49" s="262"/>
      <c r="EI49" s="262"/>
      <c r="EJ49" s="262"/>
      <c r="EK49" s="262"/>
      <c r="EL49" s="262"/>
      <c r="EM49" s="262"/>
      <c r="EN49" s="262"/>
      <c r="EO49" s="262"/>
      <c r="EP49" s="262"/>
      <c r="EQ49" s="262"/>
      <c r="ER49" s="262"/>
      <c r="ES49" s="262"/>
      <c r="ET49" s="262"/>
      <c r="EU49" s="262"/>
      <c r="EV49" s="262"/>
      <c r="EW49" s="262"/>
      <c r="EX49" s="262"/>
      <c r="EY49" s="262"/>
      <c r="EZ49" s="262"/>
      <c r="FA49" s="262"/>
      <c r="FB49" s="262"/>
      <c r="FC49" s="262"/>
      <c r="FD49" s="262"/>
      <c r="FE49" s="262"/>
      <c r="FF49" s="262"/>
      <c r="FG49" s="262"/>
      <c r="FH49" s="262"/>
      <c r="FI49" s="262"/>
      <c r="FJ49" s="262"/>
      <c r="FK49" s="262"/>
      <c r="FL49" s="262"/>
      <c r="FM49" s="262"/>
      <c r="FN49" s="262"/>
      <c r="FO49" s="262"/>
      <c r="FP49" s="262"/>
      <c r="FQ49" s="262"/>
      <c r="FR49" s="262"/>
      <c r="FS49" s="262"/>
      <c r="FT49" s="262"/>
      <c r="FU49" s="262"/>
      <c r="FV49" s="262"/>
      <c r="FW49" s="262"/>
      <c r="FX49" s="262"/>
      <c r="FY49" s="262"/>
      <c r="FZ49" s="262"/>
      <c r="GA49" s="262"/>
      <c r="GB49" s="262"/>
      <c r="GC49" s="262"/>
      <c r="GD49" s="262"/>
      <c r="GE49" s="262"/>
      <c r="GF49" s="262"/>
      <c r="GG49" s="262"/>
      <c r="GH49" s="262"/>
      <c r="GI49" s="262"/>
      <c r="GJ49" s="262"/>
      <c r="GK49" s="262"/>
      <c r="GL49" s="262"/>
      <c r="GM49" s="262"/>
      <c r="GN49" s="262"/>
      <c r="GO49" s="262"/>
      <c r="GP49" s="262"/>
      <c r="GQ49" s="262"/>
      <c r="GR49" s="262"/>
      <c r="GS49" s="262"/>
      <c r="GT49" s="262"/>
      <c r="GU49" s="262"/>
      <c r="GV49" s="262"/>
      <c r="GW49" s="262"/>
    </row>
    <row r="50" spans="1:205" ht="15" x14ac:dyDescent="0.25">
      <c r="A50" s="52" t="str">
        <f>IF(COUNTBLANK(B50)=1," ",COUNTA($B$12:B50))</f>
        <v xml:space="preserve"> </v>
      </c>
      <c r="B50" s="264"/>
      <c r="C50" s="283" t="s">
        <v>18</v>
      </c>
      <c r="D50" s="283"/>
      <c r="E50" s="283"/>
      <c r="F50" s="283"/>
      <c r="G50" s="743" t="s">
        <v>32</v>
      </c>
      <c r="H50" s="273">
        <f>ROUNDUP(H49*I50,0)</f>
        <v>93</v>
      </c>
      <c r="I50" s="273">
        <v>2.6</v>
      </c>
      <c r="J50" s="506"/>
      <c r="K50" s="506"/>
      <c r="L50" s="506"/>
      <c r="M50" s="211"/>
      <c r="N50" s="506"/>
      <c r="O50" s="314"/>
      <c r="P50" s="315"/>
      <c r="Q50" s="315"/>
      <c r="R50" s="315"/>
      <c r="S50" s="315"/>
      <c r="T50" s="315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C50" s="262"/>
      <c r="CD50" s="262"/>
      <c r="CE50" s="262"/>
      <c r="CF50" s="262"/>
      <c r="CG50" s="262"/>
      <c r="CH50" s="262"/>
      <c r="CI50" s="262"/>
      <c r="CJ50" s="262"/>
      <c r="CK50" s="262"/>
      <c r="CL50" s="262"/>
      <c r="CM50" s="262"/>
      <c r="CN50" s="262"/>
      <c r="CO50" s="262"/>
      <c r="CP50" s="262"/>
      <c r="CQ50" s="262"/>
      <c r="CR50" s="262"/>
      <c r="CS50" s="262"/>
      <c r="CT50" s="262"/>
      <c r="CU50" s="262"/>
      <c r="CV50" s="262"/>
      <c r="CW50" s="262"/>
      <c r="CX50" s="262"/>
      <c r="CY50" s="262"/>
      <c r="CZ50" s="262"/>
      <c r="DA50" s="262"/>
      <c r="DB50" s="262"/>
      <c r="DC50" s="262"/>
      <c r="DD50" s="262"/>
      <c r="DE50" s="262"/>
      <c r="DF50" s="262"/>
      <c r="DG50" s="262"/>
      <c r="DH50" s="262"/>
      <c r="DI50" s="262"/>
      <c r="DJ50" s="262"/>
      <c r="DK50" s="262"/>
      <c r="DL50" s="262"/>
      <c r="DM50" s="262"/>
      <c r="DN50" s="262"/>
      <c r="DO50" s="262"/>
      <c r="DP50" s="262"/>
      <c r="DQ50" s="262"/>
      <c r="DR50" s="262"/>
      <c r="DS50" s="262"/>
      <c r="DT50" s="262"/>
      <c r="DU50" s="262"/>
      <c r="DV50" s="262"/>
      <c r="DW50" s="262"/>
      <c r="DX50" s="262"/>
      <c r="DY50" s="262"/>
      <c r="DZ50" s="262"/>
      <c r="EA50" s="262"/>
      <c r="EB50" s="262"/>
      <c r="EC50" s="262"/>
      <c r="ED50" s="262"/>
      <c r="EE50" s="262"/>
      <c r="EF50" s="262"/>
      <c r="EG50" s="262"/>
      <c r="EH50" s="262"/>
      <c r="EI50" s="262"/>
      <c r="EJ50" s="262"/>
      <c r="EK50" s="262"/>
      <c r="EL50" s="262"/>
      <c r="EM50" s="262"/>
      <c r="EN50" s="262"/>
      <c r="EO50" s="262"/>
      <c r="EP50" s="262"/>
      <c r="EQ50" s="262"/>
      <c r="ER50" s="262"/>
      <c r="ES50" s="262"/>
      <c r="ET50" s="262"/>
      <c r="EU50" s="262"/>
      <c r="EV50" s="262"/>
      <c r="EW50" s="262"/>
      <c r="EX50" s="262"/>
      <c r="EY50" s="262"/>
      <c r="EZ50" s="262"/>
      <c r="FA50" s="262"/>
      <c r="FB50" s="262"/>
      <c r="FC50" s="262"/>
      <c r="FD50" s="262"/>
      <c r="FE50" s="262"/>
      <c r="FF50" s="262"/>
      <c r="FG50" s="262"/>
      <c r="FH50" s="262"/>
      <c r="FI50" s="262"/>
      <c r="FJ50" s="262"/>
      <c r="FK50" s="262"/>
      <c r="FL50" s="262"/>
      <c r="FM50" s="262"/>
      <c r="FN50" s="262"/>
      <c r="FO50" s="262"/>
      <c r="FP50" s="262"/>
      <c r="FQ50" s="262"/>
      <c r="FR50" s="262"/>
      <c r="FS50" s="262"/>
      <c r="FT50" s="262"/>
      <c r="FU50" s="262"/>
      <c r="FV50" s="262"/>
      <c r="FW50" s="262"/>
      <c r="FX50" s="262"/>
      <c r="FY50" s="262"/>
      <c r="FZ50" s="262"/>
      <c r="GA50" s="262"/>
      <c r="GB50" s="262"/>
      <c r="GC50" s="262"/>
      <c r="GD50" s="262"/>
      <c r="GE50" s="262"/>
      <c r="GF50" s="262"/>
      <c r="GG50" s="262"/>
      <c r="GH50" s="262"/>
      <c r="GI50" s="262"/>
      <c r="GJ50" s="262"/>
      <c r="GK50" s="262"/>
      <c r="GL50" s="262"/>
      <c r="GM50" s="262"/>
      <c r="GN50" s="262"/>
      <c r="GO50" s="262"/>
      <c r="GP50" s="262"/>
      <c r="GQ50" s="262"/>
      <c r="GR50" s="262"/>
      <c r="GS50" s="262"/>
      <c r="GT50" s="262"/>
      <c r="GU50" s="262"/>
      <c r="GV50" s="262"/>
      <c r="GW50" s="262"/>
    </row>
    <row r="51" spans="1:205" ht="15" x14ac:dyDescent="0.25">
      <c r="A51" s="52" t="str">
        <f>IF(COUNTBLANK(B51)=1," ",COUNTA($B$12:B51))</f>
        <v xml:space="preserve"> </v>
      </c>
      <c r="B51" s="264"/>
      <c r="C51" s="285" t="s">
        <v>19</v>
      </c>
      <c r="D51" s="285"/>
      <c r="E51" s="285"/>
      <c r="F51" s="285"/>
      <c r="G51" s="743" t="s">
        <v>32</v>
      </c>
      <c r="H51" s="274">
        <f>ROUNDUP(H49*I51,0)</f>
        <v>71</v>
      </c>
      <c r="I51" s="274">
        <v>2</v>
      </c>
      <c r="J51" s="506"/>
      <c r="K51" s="506"/>
      <c r="L51" s="506"/>
      <c r="M51" s="211"/>
      <c r="N51" s="506"/>
      <c r="O51" s="314"/>
      <c r="P51" s="315"/>
      <c r="Q51" s="315"/>
      <c r="R51" s="315"/>
      <c r="S51" s="315"/>
      <c r="T51" s="315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2"/>
      <c r="BH51" s="262"/>
      <c r="BI51" s="262"/>
      <c r="BJ51" s="262"/>
      <c r="BK51" s="262"/>
      <c r="BL51" s="262"/>
      <c r="BM51" s="262"/>
      <c r="BN51" s="262"/>
      <c r="BO51" s="262"/>
      <c r="BP51" s="262"/>
      <c r="BQ51" s="262"/>
      <c r="BR51" s="262"/>
      <c r="BS51" s="262"/>
      <c r="BT51" s="262"/>
      <c r="BU51" s="262"/>
      <c r="BV51" s="262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2"/>
      <c r="CH51" s="262"/>
      <c r="CI51" s="262"/>
      <c r="CJ51" s="262"/>
      <c r="CK51" s="262"/>
      <c r="CL51" s="262"/>
      <c r="CM51" s="262"/>
      <c r="CN51" s="262"/>
      <c r="CO51" s="262"/>
      <c r="CP51" s="262"/>
      <c r="CQ51" s="262"/>
      <c r="CR51" s="262"/>
      <c r="CS51" s="262"/>
      <c r="CT51" s="262"/>
      <c r="CU51" s="262"/>
      <c r="CV51" s="262"/>
      <c r="CW51" s="262"/>
      <c r="CX51" s="262"/>
      <c r="CY51" s="262"/>
      <c r="CZ51" s="262"/>
      <c r="DA51" s="262"/>
      <c r="DB51" s="262"/>
      <c r="DC51" s="262"/>
      <c r="DD51" s="262"/>
      <c r="DE51" s="262"/>
      <c r="DF51" s="262"/>
      <c r="DG51" s="262"/>
      <c r="DH51" s="262"/>
      <c r="DI51" s="262"/>
      <c r="DJ51" s="262"/>
      <c r="DK51" s="262"/>
      <c r="DL51" s="262"/>
      <c r="DM51" s="262"/>
      <c r="DN51" s="262"/>
      <c r="DO51" s="262"/>
      <c r="DP51" s="262"/>
      <c r="DQ51" s="262"/>
      <c r="DR51" s="262"/>
      <c r="DS51" s="262"/>
      <c r="DT51" s="262"/>
      <c r="DU51" s="262"/>
      <c r="DV51" s="262"/>
      <c r="DW51" s="262"/>
      <c r="DX51" s="262"/>
      <c r="DY51" s="262"/>
      <c r="DZ51" s="262"/>
      <c r="EA51" s="262"/>
      <c r="EB51" s="262"/>
      <c r="EC51" s="262"/>
      <c r="ED51" s="262"/>
      <c r="EE51" s="262"/>
      <c r="EF51" s="262"/>
      <c r="EG51" s="262"/>
      <c r="EH51" s="262"/>
      <c r="EI51" s="262"/>
      <c r="EJ51" s="262"/>
      <c r="EK51" s="262"/>
      <c r="EL51" s="262"/>
      <c r="EM51" s="262"/>
      <c r="EN51" s="262"/>
      <c r="EO51" s="262"/>
      <c r="EP51" s="262"/>
      <c r="EQ51" s="262"/>
      <c r="ER51" s="262"/>
      <c r="ES51" s="262"/>
      <c r="ET51" s="262"/>
      <c r="EU51" s="262"/>
      <c r="EV51" s="262"/>
      <c r="EW51" s="262"/>
      <c r="EX51" s="262"/>
      <c r="EY51" s="262"/>
      <c r="EZ51" s="262"/>
      <c r="FA51" s="262"/>
      <c r="FB51" s="262"/>
      <c r="FC51" s="262"/>
      <c r="FD51" s="262"/>
      <c r="FE51" s="262"/>
      <c r="FF51" s="262"/>
      <c r="FG51" s="262"/>
      <c r="FH51" s="262"/>
      <c r="FI51" s="262"/>
      <c r="FJ51" s="262"/>
      <c r="FK51" s="262"/>
      <c r="FL51" s="262"/>
      <c r="FM51" s="262"/>
      <c r="FN51" s="262"/>
      <c r="FO51" s="262"/>
      <c r="FP51" s="262"/>
      <c r="FQ51" s="262"/>
      <c r="FR51" s="262"/>
      <c r="FS51" s="262"/>
      <c r="FT51" s="262"/>
      <c r="FU51" s="262"/>
      <c r="FV51" s="262"/>
      <c r="FW51" s="262"/>
      <c r="FX51" s="262"/>
      <c r="FY51" s="262"/>
      <c r="FZ51" s="262"/>
      <c r="GA51" s="262"/>
      <c r="GB51" s="262"/>
      <c r="GC51" s="262"/>
      <c r="GD51" s="262"/>
      <c r="GE51" s="262"/>
      <c r="GF51" s="262"/>
      <c r="GG51" s="262"/>
      <c r="GH51" s="262"/>
      <c r="GI51" s="262"/>
      <c r="GJ51" s="262"/>
      <c r="GK51" s="262"/>
      <c r="GL51" s="262"/>
      <c r="GM51" s="262"/>
      <c r="GN51" s="262"/>
      <c r="GO51" s="262"/>
      <c r="GP51" s="262"/>
      <c r="GQ51" s="262"/>
      <c r="GR51" s="262"/>
      <c r="GS51" s="262"/>
      <c r="GT51" s="262"/>
      <c r="GU51" s="262"/>
      <c r="GV51" s="262"/>
      <c r="GW51" s="262"/>
    </row>
    <row r="52" spans="1:205" ht="15" x14ac:dyDescent="0.25">
      <c r="A52" s="52" t="str">
        <f>IF(COUNTBLANK(B52)=1," ",COUNTA($B$12:B52))</f>
        <v xml:space="preserve"> </v>
      </c>
      <c r="B52" s="286"/>
      <c r="C52" s="283" t="s">
        <v>20</v>
      </c>
      <c r="D52" s="283"/>
      <c r="E52" s="283"/>
      <c r="F52" s="283"/>
      <c r="G52" s="264" t="s">
        <v>52</v>
      </c>
      <c r="H52" s="274">
        <f>ROUNDUP(H49*I52,0)</f>
        <v>15</v>
      </c>
      <c r="I52" s="274">
        <v>0.4</v>
      </c>
      <c r="J52" s="506"/>
      <c r="K52" s="506"/>
      <c r="L52" s="506"/>
      <c r="M52" s="211"/>
      <c r="N52" s="506"/>
      <c r="O52" s="314"/>
      <c r="P52" s="315"/>
      <c r="Q52" s="315"/>
      <c r="R52" s="315"/>
      <c r="S52" s="315"/>
      <c r="T52" s="315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2"/>
      <c r="BQ52" s="262"/>
      <c r="BR52" s="262"/>
      <c r="BS52" s="262"/>
      <c r="BT52" s="262"/>
      <c r="BU52" s="262"/>
      <c r="BV52" s="262"/>
      <c r="BW52" s="262"/>
      <c r="BX52" s="262"/>
      <c r="BY52" s="262"/>
      <c r="BZ52" s="262"/>
      <c r="CA52" s="262"/>
      <c r="CB52" s="262"/>
      <c r="CC52" s="262"/>
      <c r="CD52" s="262"/>
      <c r="CE52" s="262"/>
      <c r="CF52" s="262"/>
      <c r="CG52" s="262"/>
      <c r="CH52" s="262"/>
      <c r="CI52" s="262"/>
      <c r="CJ52" s="262"/>
      <c r="CK52" s="262"/>
      <c r="CL52" s="262"/>
      <c r="CM52" s="262"/>
      <c r="CN52" s="262"/>
      <c r="CO52" s="262"/>
      <c r="CP52" s="262"/>
      <c r="CQ52" s="262"/>
      <c r="CR52" s="262"/>
      <c r="CS52" s="262"/>
      <c r="CT52" s="262"/>
      <c r="CU52" s="262"/>
      <c r="CV52" s="262"/>
      <c r="CW52" s="262"/>
      <c r="CX52" s="262"/>
      <c r="CY52" s="262"/>
      <c r="CZ52" s="262"/>
      <c r="DA52" s="262"/>
      <c r="DB52" s="262"/>
      <c r="DC52" s="262"/>
      <c r="DD52" s="262"/>
      <c r="DE52" s="262"/>
      <c r="DF52" s="262"/>
      <c r="DG52" s="262"/>
      <c r="DH52" s="262"/>
      <c r="DI52" s="262"/>
      <c r="DJ52" s="262"/>
      <c r="DK52" s="262"/>
      <c r="DL52" s="262"/>
      <c r="DM52" s="262"/>
      <c r="DN52" s="262"/>
      <c r="DO52" s="262"/>
      <c r="DP52" s="262"/>
      <c r="DQ52" s="262"/>
      <c r="DR52" s="262"/>
      <c r="DS52" s="262"/>
      <c r="DT52" s="262"/>
      <c r="DU52" s="262"/>
      <c r="DV52" s="262"/>
      <c r="DW52" s="262"/>
      <c r="DX52" s="262"/>
      <c r="DY52" s="262"/>
      <c r="DZ52" s="262"/>
      <c r="EA52" s="262"/>
      <c r="EB52" s="262"/>
      <c r="EC52" s="262"/>
      <c r="ED52" s="262"/>
      <c r="EE52" s="262"/>
      <c r="EF52" s="262"/>
      <c r="EG52" s="262"/>
      <c r="EH52" s="262"/>
      <c r="EI52" s="262"/>
      <c r="EJ52" s="262"/>
      <c r="EK52" s="262"/>
      <c r="EL52" s="262"/>
      <c r="EM52" s="262"/>
      <c r="EN52" s="262"/>
      <c r="EO52" s="262"/>
      <c r="EP52" s="262"/>
      <c r="EQ52" s="262"/>
      <c r="ER52" s="262"/>
      <c r="ES52" s="262"/>
      <c r="ET52" s="262"/>
      <c r="EU52" s="262"/>
      <c r="EV52" s="262"/>
      <c r="EW52" s="262"/>
      <c r="EX52" s="262"/>
      <c r="EY52" s="262"/>
      <c r="EZ52" s="262"/>
      <c r="FA52" s="262"/>
      <c r="FB52" s="262"/>
      <c r="FC52" s="262"/>
      <c r="FD52" s="262"/>
      <c r="FE52" s="262"/>
      <c r="FF52" s="262"/>
      <c r="FG52" s="262"/>
      <c r="FH52" s="262"/>
      <c r="FI52" s="262"/>
      <c r="FJ52" s="262"/>
      <c r="FK52" s="262"/>
      <c r="FL52" s="262"/>
      <c r="FM52" s="262"/>
      <c r="FN52" s="262"/>
      <c r="FO52" s="262"/>
      <c r="FP52" s="262"/>
      <c r="FQ52" s="262"/>
      <c r="FR52" s="262"/>
      <c r="FS52" s="262"/>
      <c r="FT52" s="262"/>
      <c r="FU52" s="262"/>
      <c r="FV52" s="262"/>
      <c r="FW52" s="262"/>
      <c r="FX52" s="262"/>
      <c r="FY52" s="262"/>
      <c r="FZ52" s="262"/>
      <c r="GA52" s="262"/>
      <c r="GB52" s="262"/>
      <c r="GC52" s="262"/>
      <c r="GD52" s="262"/>
      <c r="GE52" s="262"/>
      <c r="GF52" s="262"/>
      <c r="GG52" s="262"/>
      <c r="GH52" s="262"/>
      <c r="GI52" s="262"/>
      <c r="GJ52" s="262"/>
      <c r="GK52" s="262"/>
      <c r="GL52" s="262"/>
      <c r="GM52" s="262"/>
      <c r="GN52" s="262"/>
      <c r="GO52" s="262"/>
      <c r="GP52" s="262"/>
      <c r="GQ52" s="262"/>
      <c r="GR52" s="262"/>
      <c r="GS52" s="262"/>
      <c r="GT52" s="262"/>
      <c r="GU52" s="262"/>
      <c r="GV52" s="262"/>
      <c r="GW52" s="262"/>
    </row>
    <row r="53" spans="1:205" ht="15" x14ac:dyDescent="0.25">
      <c r="A53" s="52" t="str">
        <f>IF(COUNTBLANK(B53)=1," ",COUNTA($B$12:B53))</f>
        <v xml:space="preserve"> </v>
      </c>
      <c r="B53" s="286"/>
      <c r="C53" s="283" t="s">
        <v>21</v>
      </c>
      <c r="D53" s="283"/>
      <c r="E53" s="283"/>
      <c r="F53" s="283"/>
      <c r="G53" s="743" t="s">
        <v>32</v>
      </c>
      <c r="H53" s="274">
        <f>ROUNDUP(H49*I53,0)</f>
        <v>89</v>
      </c>
      <c r="I53" s="274">
        <v>2.5</v>
      </c>
      <c r="J53" s="506"/>
      <c r="K53" s="506"/>
      <c r="L53" s="506"/>
      <c r="M53" s="211"/>
      <c r="N53" s="506"/>
      <c r="O53" s="314"/>
      <c r="P53" s="315"/>
      <c r="Q53" s="315"/>
      <c r="R53" s="315"/>
      <c r="S53" s="315"/>
      <c r="T53" s="315"/>
      <c r="U53" s="262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  <c r="AM53" s="262"/>
      <c r="AN53" s="262"/>
      <c r="AO53" s="262"/>
      <c r="AP53" s="262"/>
      <c r="AQ53" s="262"/>
      <c r="AR53" s="262"/>
      <c r="AS53" s="262"/>
      <c r="AT53" s="262"/>
      <c r="AU53" s="262"/>
      <c r="AV53" s="262"/>
      <c r="AW53" s="262"/>
      <c r="AX53" s="262"/>
      <c r="AY53" s="262"/>
      <c r="AZ53" s="262"/>
      <c r="BA53" s="262"/>
      <c r="BB53" s="262"/>
      <c r="BC53" s="262"/>
      <c r="BD53" s="262"/>
      <c r="BE53" s="262"/>
      <c r="BF53" s="262"/>
      <c r="BG53" s="262"/>
      <c r="BH53" s="262"/>
      <c r="BI53" s="262"/>
      <c r="BJ53" s="262"/>
      <c r="BK53" s="262"/>
      <c r="BL53" s="262"/>
      <c r="BM53" s="262"/>
      <c r="BN53" s="262"/>
      <c r="BO53" s="262"/>
      <c r="BP53" s="262"/>
      <c r="BQ53" s="262"/>
      <c r="BR53" s="262"/>
      <c r="BS53" s="262"/>
      <c r="BT53" s="262"/>
      <c r="BU53" s="262"/>
      <c r="BV53" s="262"/>
      <c r="BW53" s="262"/>
      <c r="BX53" s="262"/>
      <c r="BY53" s="262"/>
      <c r="BZ53" s="262"/>
      <c r="CA53" s="262"/>
      <c r="CB53" s="262"/>
      <c r="CC53" s="262"/>
      <c r="CD53" s="262"/>
      <c r="CE53" s="262"/>
      <c r="CF53" s="262"/>
      <c r="CG53" s="262"/>
      <c r="CH53" s="262"/>
      <c r="CI53" s="262"/>
      <c r="CJ53" s="262"/>
      <c r="CK53" s="262"/>
      <c r="CL53" s="262"/>
      <c r="CM53" s="262"/>
      <c r="CN53" s="262"/>
      <c r="CO53" s="262"/>
      <c r="CP53" s="262"/>
      <c r="CQ53" s="262"/>
      <c r="CR53" s="262"/>
      <c r="CS53" s="262"/>
      <c r="CT53" s="262"/>
      <c r="CU53" s="262"/>
      <c r="CV53" s="262"/>
      <c r="CW53" s="262"/>
      <c r="CX53" s="262"/>
      <c r="CY53" s="262"/>
      <c r="CZ53" s="262"/>
      <c r="DA53" s="262"/>
      <c r="DB53" s="262"/>
      <c r="DC53" s="262"/>
      <c r="DD53" s="262"/>
      <c r="DE53" s="262"/>
      <c r="DF53" s="262"/>
      <c r="DG53" s="262"/>
      <c r="DH53" s="262"/>
      <c r="DI53" s="262"/>
      <c r="DJ53" s="262"/>
      <c r="DK53" s="262"/>
      <c r="DL53" s="262"/>
      <c r="DM53" s="262"/>
      <c r="DN53" s="262"/>
      <c r="DO53" s="262"/>
      <c r="DP53" s="262"/>
      <c r="DQ53" s="262"/>
      <c r="DR53" s="262"/>
      <c r="DS53" s="262"/>
      <c r="DT53" s="262"/>
      <c r="DU53" s="262"/>
      <c r="DV53" s="262"/>
      <c r="DW53" s="262"/>
      <c r="DX53" s="262"/>
      <c r="DY53" s="262"/>
      <c r="DZ53" s="262"/>
      <c r="EA53" s="262"/>
      <c r="EB53" s="262"/>
      <c r="EC53" s="262"/>
      <c r="ED53" s="262"/>
      <c r="EE53" s="262"/>
      <c r="EF53" s="262"/>
      <c r="EG53" s="262"/>
      <c r="EH53" s="262"/>
      <c r="EI53" s="262"/>
      <c r="EJ53" s="262"/>
      <c r="EK53" s="262"/>
      <c r="EL53" s="262"/>
      <c r="EM53" s="262"/>
      <c r="EN53" s="262"/>
      <c r="EO53" s="262"/>
      <c r="EP53" s="262"/>
      <c r="EQ53" s="262"/>
      <c r="ER53" s="262"/>
      <c r="ES53" s="262"/>
      <c r="ET53" s="262"/>
      <c r="EU53" s="262"/>
      <c r="EV53" s="262"/>
      <c r="EW53" s="262"/>
      <c r="EX53" s="262"/>
      <c r="EY53" s="262"/>
      <c r="EZ53" s="262"/>
      <c r="FA53" s="262"/>
      <c r="FB53" s="262"/>
      <c r="FC53" s="262"/>
      <c r="FD53" s="262"/>
      <c r="FE53" s="262"/>
      <c r="FF53" s="262"/>
      <c r="FG53" s="262"/>
      <c r="FH53" s="262"/>
      <c r="FI53" s="262"/>
      <c r="FJ53" s="262"/>
      <c r="FK53" s="262"/>
      <c r="FL53" s="262"/>
      <c r="FM53" s="262"/>
      <c r="FN53" s="262"/>
      <c r="FO53" s="262"/>
      <c r="FP53" s="262"/>
      <c r="FQ53" s="262"/>
      <c r="FR53" s="262"/>
      <c r="FS53" s="262"/>
      <c r="FT53" s="262"/>
      <c r="FU53" s="262"/>
      <c r="FV53" s="262"/>
      <c r="FW53" s="262"/>
      <c r="FX53" s="262"/>
      <c r="FY53" s="262"/>
      <c r="FZ53" s="262"/>
      <c r="GA53" s="262"/>
      <c r="GB53" s="262"/>
      <c r="GC53" s="262"/>
      <c r="GD53" s="262"/>
      <c r="GE53" s="262"/>
      <c r="GF53" s="262"/>
      <c r="GG53" s="262"/>
      <c r="GH53" s="262"/>
      <c r="GI53" s="262"/>
      <c r="GJ53" s="262"/>
      <c r="GK53" s="262"/>
      <c r="GL53" s="262"/>
      <c r="GM53" s="262"/>
      <c r="GN53" s="262"/>
      <c r="GO53" s="262"/>
      <c r="GP53" s="262"/>
      <c r="GQ53" s="262"/>
      <c r="GR53" s="262"/>
      <c r="GS53" s="262"/>
      <c r="GT53" s="262"/>
      <c r="GU53" s="262"/>
      <c r="GV53" s="262"/>
      <c r="GW53" s="262"/>
    </row>
    <row r="54" spans="1:205" ht="15" x14ac:dyDescent="0.25">
      <c r="A54" s="52" t="str">
        <f>IF(COUNTBLANK(B54)=1," ",COUNTA($B$12:B54))</f>
        <v xml:space="preserve"> </v>
      </c>
      <c r="B54" s="286"/>
      <c r="C54" s="283" t="s">
        <v>213</v>
      </c>
      <c r="D54" s="283"/>
      <c r="E54" s="283"/>
      <c r="F54" s="283"/>
      <c r="G54" s="264" t="s">
        <v>52</v>
      </c>
      <c r="H54" s="274">
        <f>ROUNDUP(H49*I54,2)</f>
        <v>8.86</v>
      </c>
      <c r="I54" s="274">
        <v>0.25</v>
      </c>
      <c r="J54" s="506"/>
      <c r="K54" s="506"/>
      <c r="L54" s="506"/>
      <c r="M54" s="211"/>
      <c r="N54" s="506"/>
      <c r="O54" s="314"/>
      <c r="P54" s="315"/>
      <c r="Q54" s="315"/>
      <c r="R54" s="315"/>
      <c r="S54" s="315"/>
      <c r="T54" s="315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2"/>
      <c r="AU54" s="262"/>
      <c r="AV54" s="262"/>
      <c r="AW54" s="262"/>
      <c r="AX54" s="262"/>
      <c r="AY54" s="262"/>
      <c r="AZ54" s="262"/>
      <c r="BA54" s="262"/>
      <c r="BB54" s="262"/>
      <c r="BC54" s="262"/>
      <c r="BD54" s="262"/>
      <c r="BE54" s="262"/>
      <c r="BF54" s="262"/>
      <c r="BG54" s="262"/>
      <c r="BH54" s="262"/>
      <c r="BI54" s="262"/>
      <c r="BJ54" s="262"/>
      <c r="BK54" s="262"/>
      <c r="BL54" s="262"/>
      <c r="BM54" s="262"/>
      <c r="BN54" s="262"/>
      <c r="BO54" s="262"/>
      <c r="BP54" s="262"/>
      <c r="BQ54" s="262"/>
      <c r="BR54" s="262"/>
      <c r="BS54" s="262"/>
      <c r="BT54" s="262"/>
      <c r="BU54" s="262"/>
      <c r="BV54" s="262"/>
      <c r="BW54" s="262"/>
      <c r="BX54" s="262"/>
      <c r="BY54" s="262"/>
      <c r="BZ54" s="262"/>
      <c r="CA54" s="262"/>
      <c r="CB54" s="262"/>
      <c r="CC54" s="262"/>
      <c r="CD54" s="262"/>
      <c r="CE54" s="262"/>
      <c r="CF54" s="262"/>
      <c r="CG54" s="262"/>
      <c r="CH54" s="262"/>
      <c r="CI54" s="262"/>
      <c r="CJ54" s="262"/>
      <c r="CK54" s="262"/>
      <c r="CL54" s="262"/>
      <c r="CM54" s="262"/>
      <c r="CN54" s="262"/>
      <c r="CO54" s="262"/>
      <c r="CP54" s="262"/>
      <c r="CQ54" s="262"/>
      <c r="CR54" s="262"/>
      <c r="CS54" s="262"/>
      <c r="CT54" s="262"/>
      <c r="CU54" s="262"/>
      <c r="CV54" s="262"/>
      <c r="CW54" s="262"/>
      <c r="CX54" s="262"/>
      <c r="CY54" s="262"/>
      <c r="CZ54" s="262"/>
      <c r="DA54" s="262"/>
      <c r="DB54" s="262"/>
      <c r="DC54" s="262"/>
      <c r="DD54" s="262"/>
      <c r="DE54" s="262"/>
      <c r="DF54" s="262"/>
      <c r="DG54" s="262"/>
      <c r="DH54" s="262"/>
      <c r="DI54" s="262"/>
      <c r="DJ54" s="262"/>
      <c r="DK54" s="262"/>
      <c r="DL54" s="262"/>
      <c r="DM54" s="262"/>
      <c r="DN54" s="262"/>
      <c r="DO54" s="262"/>
      <c r="DP54" s="262"/>
      <c r="DQ54" s="262"/>
      <c r="DR54" s="262"/>
      <c r="DS54" s="262"/>
      <c r="DT54" s="262"/>
      <c r="DU54" s="262"/>
      <c r="DV54" s="262"/>
      <c r="DW54" s="262"/>
      <c r="DX54" s="262"/>
      <c r="DY54" s="262"/>
      <c r="DZ54" s="262"/>
      <c r="EA54" s="262"/>
      <c r="EB54" s="262"/>
      <c r="EC54" s="262"/>
      <c r="ED54" s="262"/>
      <c r="EE54" s="262"/>
      <c r="EF54" s="262"/>
      <c r="EG54" s="262"/>
      <c r="EH54" s="262"/>
      <c r="EI54" s="262"/>
      <c r="EJ54" s="262"/>
      <c r="EK54" s="262"/>
      <c r="EL54" s="262"/>
      <c r="EM54" s="262"/>
      <c r="EN54" s="262"/>
      <c r="EO54" s="262"/>
      <c r="EP54" s="262"/>
      <c r="EQ54" s="262"/>
      <c r="ER54" s="262"/>
      <c r="ES54" s="262"/>
      <c r="ET54" s="262"/>
      <c r="EU54" s="262"/>
      <c r="EV54" s="262"/>
      <c r="EW54" s="262"/>
      <c r="EX54" s="262"/>
      <c r="EY54" s="262"/>
      <c r="EZ54" s="262"/>
      <c r="FA54" s="262"/>
      <c r="FB54" s="262"/>
      <c r="FC54" s="262"/>
      <c r="FD54" s="262"/>
      <c r="FE54" s="262"/>
      <c r="FF54" s="262"/>
      <c r="FG54" s="262"/>
      <c r="FH54" s="262"/>
      <c r="FI54" s="262"/>
      <c r="FJ54" s="262"/>
      <c r="FK54" s="262"/>
      <c r="FL54" s="262"/>
      <c r="FM54" s="262"/>
      <c r="FN54" s="262"/>
      <c r="FO54" s="262"/>
      <c r="FP54" s="262"/>
      <c r="FQ54" s="262"/>
      <c r="FR54" s="262"/>
      <c r="FS54" s="262"/>
      <c r="FT54" s="262"/>
      <c r="FU54" s="262"/>
      <c r="FV54" s="262"/>
      <c r="FW54" s="262"/>
      <c r="FX54" s="262"/>
      <c r="FY54" s="262"/>
      <c r="FZ54" s="262"/>
      <c r="GA54" s="262"/>
      <c r="GB54" s="262"/>
      <c r="GC54" s="262"/>
      <c r="GD54" s="262"/>
      <c r="GE54" s="262"/>
      <c r="GF54" s="262"/>
      <c r="GG54" s="262"/>
      <c r="GH54" s="262"/>
      <c r="GI54" s="262"/>
      <c r="GJ54" s="262"/>
      <c r="GK54" s="262"/>
      <c r="GL54" s="262"/>
      <c r="GM54" s="262"/>
      <c r="GN54" s="262"/>
      <c r="GO54" s="262"/>
      <c r="GP54" s="262"/>
      <c r="GQ54" s="262"/>
      <c r="GR54" s="262"/>
      <c r="GS54" s="262"/>
      <c r="GT54" s="262"/>
      <c r="GU54" s="262"/>
      <c r="GV54" s="262"/>
      <c r="GW54" s="262"/>
    </row>
    <row r="55" spans="1:205" x14ac:dyDescent="0.25">
      <c r="A55" s="52">
        <f>IF(COUNTBLANK(B55)=1," ",COUNTA($B$12:B55))</f>
        <v>29</v>
      </c>
      <c r="B55" s="13" t="s">
        <v>14</v>
      </c>
      <c r="C55" s="222" t="s">
        <v>191</v>
      </c>
      <c r="D55" s="57"/>
      <c r="E55" s="57"/>
      <c r="F55" s="57"/>
      <c r="G55" s="57"/>
      <c r="H55" s="86"/>
      <c r="I55" s="34"/>
      <c r="J55" s="34"/>
      <c r="K55" s="271"/>
      <c r="L55" s="34"/>
      <c r="M55" s="55"/>
      <c r="N55" s="34"/>
      <c r="O55" s="314"/>
      <c r="P55" s="315"/>
      <c r="Q55" s="315"/>
      <c r="R55" s="315"/>
      <c r="S55" s="315"/>
      <c r="T55" s="315"/>
    </row>
    <row r="56" spans="1:205" x14ac:dyDescent="0.25">
      <c r="A56" s="52">
        <f>IF(COUNTBLANK(B56)=1," ",COUNTA($B$12:B56))</f>
        <v>30</v>
      </c>
      <c r="B56" s="13" t="s">
        <v>14</v>
      </c>
      <c r="C56" s="222" t="str">
        <f>apjom!B30</f>
        <v>garenfasādēs aiz lodžiju stiklojuma R1</v>
      </c>
      <c r="D56" s="57">
        <f>apjom!E69</f>
        <v>26</v>
      </c>
      <c r="E56" s="57">
        <f>apjom!F69</f>
        <v>0.14000000000000001</v>
      </c>
      <c r="F56" s="57">
        <f>apjom!G69</f>
        <v>0.14000000000000001</v>
      </c>
      <c r="G56" s="57" t="s">
        <v>17</v>
      </c>
      <c r="H56" s="34">
        <f t="shared" ref="H56:H61" si="3">F56*E56*D56</f>
        <v>0.50960000000000005</v>
      </c>
      <c r="I56" s="34"/>
      <c r="J56" s="421"/>
      <c r="K56" s="499"/>
      <c r="L56" s="421"/>
      <c r="M56" s="505"/>
      <c r="N56" s="421"/>
      <c r="O56" s="314"/>
      <c r="P56" s="315"/>
      <c r="Q56" s="315"/>
      <c r="R56" s="315"/>
      <c r="S56" s="315"/>
      <c r="T56" s="315"/>
    </row>
    <row r="57" spans="1:205" x14ac:dyDescent="0.25">
      <c r="A57" s="52">
        <f>IF(COUNTBLANK(B57)=1," ",COUNTA($B$12:B57))</f>
        <v>31</v>
      </c>
      <c r="B57" s="13" t="s">
        <v>14</v>
      </c>
      <c r="C57" s="222" t="str">
        <f>apjom!B31</f>
        <v>sendvičapneļos R2</v>
      </c>
      <c r="D57" s="57">
        <f>apjom!E70</f>
        <v>26</v>
      </c>
      <c r="E57" s="57">
        <f>apjom!F70</f>
        <v>0.14000000000000001</v>
      </c>
      <c r="F57" s="57">
        <f>apjom!G70</f>
        <v>0.14000000000000001</v>
      </c>
      <c r="G57" s="57" t="s">
        <v>17</v>
      </c>
      <c r="H57" s="34">
        <f t="shared" si="3"/>
        <v>0.50960000000000005</v>
      </c>
      <c r="I57" s="34"/>
      <c r="J57" s="421"/>
      <c r="K57" s="499"/>
      <c r="L57" s="421"/>
      <c r="M57" s="505"/>
      <c r="N57" s="421"/>
      <c r="O57" s="314"/>
      <c r="P57" s="315"/>
      <c r="Q57" s="315"/>
      <c r="R57" s="315"/>
      <c r="S57" s="315"/>
      <c r="T57" s="315"/>
    </row>
    <row r="58" spans="1:205" x14ac:dyDescent="0.25">
      <c r="A58" s="52">
        <f>IF(COUNTBLANK(B58)=1," ",COUNTA($B$12:B58))</f>
        <v>32</v>
      </c>
      <c r="B58" s="13" t="s">
        <v>14</v>
      </c>
      <c r="C58" s="222" t="str">
        <f>apjom!B32</f>
        <v>garenfasādēs R3</v>
      </c>
      <c r="D58" s="57">
        <f>apjom!E71</f>
        <v>2</v>
      </c>
      <c r="E58" s="57">
        <f>apjom!F71</f>
        <v>0.14000000000000001</v>
      </c>
      <c r="F58" s="57">
        <f>apjom!G71</f>
        <v>0.14000000000000001</v>
      </c>
      <c r="G58" s="57" t="s">
        <v>17</v>
      </c>
      <c r="H58" s="34">
        <f t="shared" si="3"/>
        <v>3.9200000000000006E-2</v>
      </c>
      <c r="I58" s="34"/>
      <c r="J58" s="421"/>
      <c r="K58" s="499"/>
      <c r="L58" s="421"/>
      <c r="M58" s="505"/>
      <c r="N58" s="421"/>
      <c r="O58" s="314"/>
      <c r="P58" s="315"/>
      <c r="Q58" s="315"/>
      <c r="R58" s="315"/>
      <c r="S58" s="315"/>
      <c r="T58" s="315"/>
    </row>
    <row r="59" spans="1:205" x14ac:dyDescent="0.25">
      <c r="A59" s="52">
        <f>IF(COUNTBLANK(B59)=1," ",COUNTA($B$12:B59))</f>
        <v>33</v>
      </c>
      <c r="B59" s="13" t="s">
        <v>14</v>
      </c>
      <c r="C59" s="222" t="str">
        <f>apjom!B33</f>
        <v>pagrabā R4</v>
      </c>
      <c r="D59" s="57">
        <f>apjom!E72</f>
        <v>15</v>
      </c>
      <c r="E59" s="57">
        <f>apjom!F72</f>
        <v>0.14000000000000001</v>
      </c>
      <c r="F59" s="57">
        <f>apjom!G72</f>
        <v>0.14000000000000001</v>
      </c>
      <c r="G59" s="57" t="s">
        <v>17</v>
      </c>
      <c r="H59" s="34">
        <f t="shared" si="3"/>
        <v>0.29400000000000004</v>
      </c>
      <c r="I59" s="34"/>
      <c r="J59" s="421"/>
      <c r="K59" s="499"/>
      <c r="L59" s="421"/>
      <c r="M59" s="505"/>
      <c r="N59" s="421"/>
      <c r="O59" s="314"/>
      <c r="P59" s="315"/>
      <c r="Q59" s="315"/>
      <c r="R59" s="315"/>
      <c r="S59" s="315"/>
      <c r="T59" s="315"/>
    </row>
    <row r="60" spans="1:205" ht="33.75" x14ac:dyDescent="0.25">
      <c r="A60" s="52">
        <f>IF(COUNTBLANK(B60)=1," ",COUNTA($B$12:B60))</f>
        <v>34</v>
      </c>
      <c r="B60" s="13" t="s">
        <v>14</v>
      </c>
      <c r="C60" s="222" t="str">
        <f>apjom!B34</f>
        <v>Cinkota metāla žalūzija bēniņos komplektā ar montāžas rāmi.
malas veidotas ar lāseni R5</v>
      </c>
      <c r="D60" s="57">
        <f>apjom!E73</f>
        <v>4</v>
      </c>
      <c r="E60" s="57">
        <f>apjom!F73</f>
        <v>2.2000000000000002</v>
      </c>
      <c r="F60" s="57">
        <f>apjom!G73</f>
        <v>0.6</v>
      </c>
      <c r="G60" s="57" t="s">
        <v>17</v>
      </c>
      <c r="H60" s="34">
        <f t="shared" si="3"/>
        <v>5.28</v>
      </c>
      <c r="I60" s="34"/>
      <c r="J60" s="421"/>
      <c r="K60" s="499"/>
      <c r="L60" s="421"/>
      <c r="M60" s="505"/>
      <c r="N60" s="421"/>
      <c r="O60" s="314"/>
      <c r="P60" s="315"/>
      <c r="Q60" s="315"/>
      <c r="R60" s="315"/>
      <c r="S60" s="315"/>
      <c r="T60" s="315"/>
    </row>
    <row r="61" spans="1:205" x14ac:dyDescent="0.25">
      <c r="A61" s="52">
        <f>IF(COUNTBLANK(B61)=1," ",COUNTA($B$12:B61))</f>
        <v>35</v>
      </c>
      <c r="B61" s="13" t="s">
        <v>14</v>
      </c>
      <c r="C61" s="222" t="str">
        <f>apjom!B35</f>
        <v>Cinkota metāla žalūzija bēniņos R6</v>
      </c>
      <c r="D61" s="57">
        <f>apjom!E74</f>
        <v>4</v>
      </c>
      <c r="E61" s="57">
        <f>apjom!F74</f>
        <v>1.2</v>
      </c>
      <c r="F61" s="57">
        <f>apjom!G74</f>
        <v>0.4</v>
      </c>
      <c r="G61" s="57" t="s">
        <v>17</v>
      </c>
      <c r="H61" s="34">
        <f t="shared" si="3"/>
        <v>1.92</v>
      </c>
      <c r="I61" s="34"/>
      <c r="J61" s="421"/>
      <c r="K61" s="499"/>
      <c r="L61" s="421"/>
      <c r="M61" s="505"/>
      <c r="N61" s="421"/>
      <c r="O61" s="314"/>
      <c r="P61" s="315"/>
      <c r="Q61" s="315"/>
      <c r="R61" s="315"/>
      <c r="S61" s="315"/>
      <c r="T61" s="315"/>
    </row>
    <row r="62" spans="1:205" ht="22.5" x14ac:dyDescent="0.25">
      <c r="A62" s="52">
        <f>IF(COUNTBLANK(B62)=1," ",COUNTA($B$12:B62))</f>
        <v>36</v>
      </c>
      <c r="B62" s="13" t="s">
        <v>14</v>
      </c>
      <c r="C62" s="222" t="s">
        <v>876</v>
      </c>
      <c r="D62" s="57"/>
      <c r="E62" s="57"/>
      <c r="F62" s="57"/>
      <c r="G62" s="57" t="s">
        <v>32</v>
      </c>
      <c r="H62" s="86">
        <f>apjom!E57+apjom!E62+apjom!E60+apjom!E61</f>
        <v>180</v>
      </c>
      <c r="I62" s="34"/>
      <c r="J62" s="18"/>
      <c r="K62" s="701"/>
      <c r="L62" s="18"/>
      <c r="M62" s="702"/>
      <c r="N62" s="18"/>
      <c r="O62" s="314"/>
      <c r="P62" s="315"/>
      <c r="Q62" s="315"/>
      <c r="R62" s="315"/>
      <c r="S62" s="315"/>
      <c r="T62" s="315"/>
    </row>
    <row r="63" spans="1:205" ht="22.5" x14ac:dyDescent="0.25">
      <c r="A63" s="52"/>
      <c r="B63" s="13"/>
      <c r="C63" s="222" t="s">
        <v>716</v>
      </c>
      <c r="D63" s="57"/>
      <c r="E63" s="57"/>
      <c r="F63" s="57"/>
      <c r="G63" s="57"/>
      <c r="H63" s="86"/>
      <c r="I63" s="34"/>
      <c r="J63" s="34"/>
      <c r="K63" s="271"/>
      <c r="L63" s="34"/>
      <c r="M63" s="34"/>
      <c r="N63" s="34"/>
      <c r="O63" s="314"/>
      <c r="P63" s="315"/>
      <c r="Q63" s="315"/>
      <c r="R63" s="315"/>
      <c r="S63" s="315"/>
      <c r="T63" s="315"/>
    </row>
    <row r="64" spans="1:205" ht="22.5" x14ac:dyDescent="0.25">
      <c r="A64" s="52">
        <f>IF(COUNTBLANK(B64)=1," ",COUNTA($B$12:B64))</f>
        <v>37</v>
      </c>
      <c r="B64" s="13" t="s">
        <v>14</v>
      </c>
      <c r="C64" s="222" t="str">
        <f>apjom!B38</f>
        <v>M1 - Lodžiju margu- sendviča tipa paneļu tonis RAL 9007</v>
      </c>
      <c r="D64" s="57">
        <f>apjom!E77</f>
        <v>16</v>
      </c>
      <c r="E64" s="57">
        <f>apjom!F77</f>
        <v>6.24</v>
      </c>
      <c r="F64" s="57">
        <f>apjom!G77</f>
        <v>1.1000000000000001</v>
      </c>
      <c r="G64" s="57" t="s">
        <v>17</v>
      </c>
      <c r="H64" s="34">
        <f>apjom!J77</f>
        <v>109.82400000000001</v>
      </c>
      <c r="I64" s="34"/>
      <c r="J64" s="421"/>
      <c r="K64" s="499"/>
      <c r="L64" s="421"/>
      <c r="M64" s="505"/>
      <c r="N64" s="421"/>
      <c r="O64" s="314"/>
      <c r="P64" s="315"/>
      <c r="Q64" s="315"/>
      <c r="R64" s="315"/>
      <c r="S64" s="315"/>
      <c r="T64" s="315"/>
    </row>
    <row r="65" spans="1:205" ht="22.5" x14ac:dyDescent="0.25">
      <c r="A65" s="52">
        <f>IF(COUNTBLANK(B65)=1," ",COUNTA($B$12:B65))</f>
        <v>38</v>
      </c>
      <c r="B65" s="13" t="s">
        <v>14</v>
      </c>
      <c r="C65" s="222" t="str">
        <f>apjom!B39</f>
        <v>M2 - Lodžiju margu- sendviča tipa paneļu tonis RAL 9008</v>
      </c>
      <c r="D65" s="57">
        <f>apjom!E78</f>
        <v>10</v>
      </c>
      <c r="E65" s="57">
        <f>apjom!F78</f>
        <v>3.04</v>
      </c>
      <c r="F65" s="57">
        <f>apjom!G78</f>
        <v>1.1000000000000001</v>
      </c>
      <c r="G65" s="57" t="s">
        <v>17</v>
      </c>
      <c r="H65" s="34">
        <f>apjom!J78</f>
        <v>33.440000000000005</v>
      </c>
      <c r="I65" s="34"/>
      <c r="J65" s="421"/>
      <c r="K65" s="499"/>
      <c r="L65" s="421"/>
      <c r="M65" s="505"/>
      <c r="N65" s="421"/>
      <c r="O65" s="314"/>
      <c r="P65" s="315"/>
      <c r="Q65" s="315"/>
      <c r="R65" s="315"/>
      <c r="S65" s="315"/>
      <c r="T65" s="315"/>
    </row>
    <row r="66" spans="1:205" ht="22.5" x14ac:dyDescent="0.25">
      <c r="A66" s="52">
        <f>IF(COUNTBLANK(B66)=1," ",COUNTA($B$12:B66))</f>
        <v>39</v>
      </c>
      <c r="B66" s="13" t="s">
        <v>14</v>
      </c>
      <c r="C66" s="222" t="str">
        <f>apjom!B40</f>
        <v>M3 - Lodžiju margu- sendviča tipa paneļu tonis RAL 7016</v>
      </c>
      <c r="D66" s="57">
        <f>apjom!E79</f>
        <v>12</v>
      </c>
      <c r="E66" s="57">
        <f>apjom!F79</f>
        <v>6.24</v>
      </c>
      <c r="F66" s="57">
        <f>apjom!G79</f>
        <v>1.1000000000000001</v>
      </c>
      <c r="G66" s="57" t="s">
        <v>17</v>
      </c>
      <c r="H66" s="34">
        <f>apjom!J79</f>
        <v>82.368000000000009</v>
      </c>
      <c r="I66" s="34"/>
      <c r="J66" s="421"/>
      <c r="K66" s="499"/>
      <c r="L66" s="421"/>
      <c r="M66" s="505"/>
      <c r="N66" s="421"/>
      <c r="O66" s="314"/>
      <c r="P66" s="315"/>
      <c r="Q66" s="315"/>
      <c r="R66" s="315"/>
      <c r="S66" s="315"/>
      <c r="T66" s="315"/>
    </row>
    <row r="67" spans="1:205" ht="22.5" x14ac:dyDescent="0.25">
      <c r="A67" s="52">
        <f>IF(COUNTBLANK(B67)=1," ",COUNTA($B$12:B67))</f>
        <v>40</v>
      </c>
      <c r="B67" s="13" t="s">
        <v>14</v>
      </c>
      <c r="C67" s="222" t="str">
        <f>apjom!B41</f>
        <v>M4 - Lodžiju margu- sendviča tipa paneļu t tonis RAL 7017</v>
      </c>
      <c r="D67" s="57">
        <f>apjom!E80</f>
        <v>8</v>
      </c>
      <c r="E67" s="57">
        <f>apjom!F80</f>
        <v>3.04</v>
      </c>
      <c r="F67" s="57">
        <f>apjom!G80</f>
        <v>1.1000000000000001</v>
      </c>
      <c r="G67" s="57" t="s">
        <v>17</v>
      </c>
      <c r="H67" s="34">
        <f>apjom!J80</f>
        <v>26.752000000000002</v>
      </c>
      <c r="I67" s="34"/>
      <c r="J67" s="421"/>
      <c r="K67" s="499"/>
      <c r="L67" s="421"/>
      <c r="M67" s="505"/>
      <c r="N67" s="421"/>
      <c r="O67" s="314"/>
      <c r="P67" s="315"/>
      <c r="Q67" s="315"/>
      <c r="R67" s="315"/>
      <c r="S67" s="315"/>
      <c r="T67" s="315"/>
    </row>
    <row r="68" spans="1:205" ht="15" x14ac:dyDescent="0.25">
      <c r="A68" s="52">
        <f>IF(COUNTBLANK(B68)=1," ",COUNTA($B$12:B68))</f>
        <v>41</v>
      </c>
      <c r="B68" s="280" t="s">
        <v>14</v>
      </c>
      <c r="C68" s="281" t="s">
        <v>770</v>
      </c>
      <c r="D68" s="281"/>
      <c r="E68" s="281"/>
      <c r="F68" s="281"/>
      <c r="G68" s="57" t="s">
        <v>17</v>
      </c>
      <c r="H68" s="273">
        <f>SUM(H64:H67)</f>
        <v>252.38400000000001</v>
      </c>
      <c r="I68" s="273"/>
      <c r="J68" s="499"/>
      <c r="K68" s="499"/>
      <c r="L68" s="499"/>
      <c r="M68" s="501"/>
      <c r="N68" s="499"/>
      <c r="O68" s="314"/>
      <c r="P68" s="315"/>
      <c r="Q68" s="315"/>
      <c r="R68" s="315"/>
      <c r="S68" s="315"/>
      <c r="T68" s="315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62"/>
      <c r="AO68" s="262"/>
      <c r="AP68" s="262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  <c r="BJ68" s="262"/>
      <c r="BK68" s="262"/>
      <c r="BL68" s="262"/>
      <c r="BM68" s="262"/>
      <c r="BN68" s="262"/>
      <c r="BO68" s="262"/>
      <c r="BP68" s="262"/>
      <c r="BQ68" s="262"/>
      <c r="BR68" s="262"/>
      <c r="BS68" s="262"/>
      <c r="BT68" s="262"/>
      <c r="BU68" s="262"/>
      <c r="BV68" s="262"/>
      <c r="BW68" s="262"/>
      <c r="BX68" s="262"/>
      <c r="BY68" s="262"/>
      <c r="BZ68" s="262"/>
      <c r="CA68" s="262"/>
      <c r="CB68" s="262"/>
      <c r="CC68" s="262"/>
      <c r="CD68" s="262"/>
      <c r="CE68" s="262"/>
      <c r="CF68" s="262"/>
      <c r="CG68" s="262"/>
      <c r="CH68" s="262"/>
      <c r="CI68" s="262"/>
      <c r="CJ68" s="262"/>
      <c r="CK68" s="262"/>
      <c r="CL68" s="262"/>
      <c r="CM68" s="262"/>
      <c r="CN68" s="262"/>
      <c r="CO68" s="262"/>
      <c r="CP68" s="262"/>
      <c r="CQ68" s="262"/>
      <c r="CR68" s="262"/>
      <c r="CS68" s="262"/>
      <c r="CT68" s="262"/>
      <c r="CU68" s="262"/>
      <c r="CV68" s="262"/>
      <c r="CW68" s="262"/>
      <c r="CX68" s="262"/>
      <c r="CY68" s="262"/>
      <c r="CZ68" s="262"/>
      <c r="DA68" s="262"/>
      <c r="DB68" s="262"/>
      <c r="DC68" s="262"/>
      <c r="DD68" s="262"/>
      <c r="DE68" s="262"/>
      <c r="DF68" s="262"/>
      <c r="DG68" s="262"/>
      <c r="DH68" s="262"/>
      <c r="DI68" s="262"/>
      <c r="DJ68" s="262"/>
      <c r="DK68" s="262"/>
      <c r="DL68" s="262"/>
      <c r="DM68" s="262"/>
      <c r="DN68" s="262"/>
      <c r="DO68" s="262"/>
      <c r="DP68" s="262"/>
      <c r="DQ68" s="262"/>
      <c r="DR68" s="262"/>
      <c r="DS68" s="262"/>
      <c r="DT68" s="262"/>
      <c r="DU68" s="262"/>
      <c r="DV68" s="262"/>
      <c r="DW68" s="262"/>
      <c r="DX68" s="262"/>
      <c r="DY68" s="262"/>
      <c r="DZ68" s="262"/>
      <c r="EA68" s="262"/>
      <c r="EB68" s="262"/>
      <c r="EC68" s="262"/>
      <c r="ED68" s="262"/>
      <c r="EE68" s="262"/>
      <c r="EF68" s="262"/>
      <c r="EG68" s="262"/>
      <c r="EH68" s="262"/>
      <c r="EI68" s="262"/>
      <c r="EJ68" s="262"/>
      <c r="EK68" s="262"/>
      <c r="EL68" s="262"/>
      <c r="EM68" s="262"/>
      <c r="EN68" s="262"/>
      <c r="EO68" s="262"/>
      <c r="EP68" s="262"/>
      <c r="EQ68" s="262"/>
      <c r="ER68" s="262"/>
      <c r="ES68" s="262"/>
      <c r="ET68" s="262"/>
      <c r="EU68" s="262"/>
      <c r="EV68" s="262"/>
      <c r="EW68" s="262"/>
      <c r="EX68" s="262"/>
      <c r="EY68" s="262"/>
      <c r="EZ68" s="262"/>
      <c r="FA68" s="262"/>
      <c r="FB68" s="262"/>
      <c r="FC68" s="262"/>
      <c r="FD68" s="262"/>
      <c r="FE68" s="262"/>
      <c r="FF68" s="262"/>
      <c r="FG68" s="262"/>
      <c r="FH68" s="262"/>
      <c r="FI68" s="262"/>
      <c r="FJ68" s="262"/>
      <c r="FK68" s="262"/>
      <c r="FL68" s="262"/>
      <c r="FM68" s="262"/>
      <c r="FN68" s="262"/>
      <c r="FO68" s="262"/>
      <c r="FP68" s="262"/>
      <c r="FQ68" s="262"/>
      <c r="FR68" s="262"/>
      <c r="FS68" s="262"/>
      <c r="FT68" s="262"/>
      <c r="FU68" s="262"/>
      <c r="FV68" s="262"/>
      <c r="FW68" s="262"/>
      <c r="FX68" s="262"/>
      <c r="FY68" s="262"/>
      <c r="FZ68" s="262"/>
      <c r="GA68" s="262"/>
      <c r="GB68" s="262"/>
      <c r="GC68" s="262"/>
      <c r="GD68" s="262"/>
      <c r="GE68" s="262"/>
      <c r="GF68" s="262"/>
      <c r="GG68" s="262"/>
      <c r="GH68" s="262"/>
      <c r="GI68" s="262"/>
      <c r="GJ68" s="262"/>
      <c r="GK68" s="262"/>
      <c r="GL68" s="262"/>
      <c r="GM68" s="262"/>
      <c r="GN68" s="262"/>
      <c r="GO68" s="262"/>
      <c r="GP68" s="262"/>
      <c r="GQ68" s="262"/>
      <c r="GR68" s="262"/>
      <c r="GS68" s="262"/>
      <c r="GT68" s="262"/>
      <c r="GU68" s="262"/>
      <c r="GV68" s="262"/>
      <c r="GW68" s="262"/>
    </row>
    <row r="69" spans="1:205" ht="15" x14ac:dyDescent="0.25">
      <c r="A69" s="52" t="str">
        <f>IF(COUNTBLANK(B69)=1," ",COUNTA($B$12:B69))</f>
        <v xml:space="preserve"> </v>
      </c>
      <c r="B69" s="264"/>
      <c r="C69" s="283" t="s">
        <v>18</v>
      </c>
      <c r="D69" s="284"/>
      <c r="E69" s="284"/>
      <c r="F69" s="284"/>
      <c r="G69" s="282" t="s">
        <v>32</v>
      </c>
      <c r="H69" s="273">
        <f>ROUNDUP(H68*I69,0)</f>
        <v>657</v>
      </c>
      <c r="I69" s="273">
        <v>2.6</v>
      </c>
      <c r="J69" s="499"/>
      <c r="K69" s="499"/>
      <c r="L69" s="499"/>
      <c r="M69" s="499"/>
      <c r="N69" s="499"/>
      <c r="O69" s="314"/>
      <c r="P69" s="315"/>
      <c r="Q69" s="315"/>
      <c r="R69" s="315"/>
      <c r="S69" s="315"/>
      <c r="T69" s="315"/>
      <c r="U69" s="262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2"/>
      <c r="AK69" s="262"/>
      <c r="AL69" s="262"/>
      <c r="AM69" s="262"/>
      <c r="AN69" s="262"/>
      <c r="AO69" s="262"/>
      <c r="AP69" s="262"/>
      <c r="AQ69" s="262"/>
      <c r="AR69" s="262"/>
      <c r="AS69" s="262"/>
      <c r="AT69" s="262"/>
      <c r="AU69" s="262"/>
      <c r="AV69" s="262"/>
      <c r="AW69" s="262"/>
      <c r="AX69" s="262"/>
      <c r="AY69" s="262"/>
      <c r="AZ69" s="262"/>
      <c r="BA69" s="262"/>
      <c r="BB69" s="262"/>
      <c r="BC69" s="262"/>
      <c r="BD69" s="262"/>
      <c r="BE69" s="262"/>
      <c r="BF69" s="262"/>
      <c r="BG69" s="262"/>
      <c r="BH69" s="262"/>
      <c r="BI69" s="262"/>
      <c r="BJ69" s="262"/>
      <c r="BK69" s="262"/>
      <c r="BL69" s="262"/>
      <c r="BM69" s="262"/>
      <c r="BN69" s="262"/>
      <c r="BO69" s="262"/>
      <c r="BP69" s="262"/>
      <c r="BQ69" s="262"/>
      <c r="BR69" s="262"/>
      <c r="BS69" s="262"/>
      <c r="BT69" s="262"/>
      <c r="BU69" s="262"/>
      <c r="BV69" s="262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262"/>
      <c r="CH69" s="262"/>
      <c r="CI69" s="262"/>
      <c r="CJ69" s="262"/>
      <c r="CK69" s="262"/>
      <c r="CL69" s="262"/>
      <c r="CM69" s="262"/>
      <c r="CN69" s="262"/>
      <c r="CO69" s="262"/>
      <c r="CP69" s="262"/>
      <c r="CQ69" s="262"/>
      <c r="CR69" s="262"/>
      <c r="CS69" s="262"/>
      <c r="CT69" s="262"/>
      <c r="CU69" s="262"/>
      <c r="CV69" s="262"/>
      <c r="CW69" s="262"/>
      <c r="CX69" s="262"/>
      <c r="CY69" s="262"/>
      <c r="CZ69" s="262"/>
      <c r="DA69" s="262"/>
      <c r="DB69" s="262"/>
      <c r="DC69" s="262"/>
      <c r="DD69" s="262"/>
      <c r="DE69" s="262"/>
      <c r="DF69" s="262"/>
      <c r="DG69" s="262"/>
      <c r="DH69" s="262"/>
      <c r="DI69" s="262"/>
      <c r="DJ69" s="262"/>
      <c r="DK69" s="262"/>
      <c r="DL69" s="262"/>
      <c r="DM69" s="262"/>
      <c r="DN69" s="262"/>
      <c r="DO69" s="262"/>
      <c r="DP69" s="262"/>
      <c r="DQ69" s="262"/>
      <c r="DR69" s="262"/>
      <c r="DS69" s="262"/>
      <c r="DT69" s="262"/>
      <c r="DU69" s="262"/>
      <c r="DV69" s="262"/>
      <c r="DW69" s="262"/>
      <c r="DX69" s="262"/>
      <c r="DY69" s="262"/>
      <c r="DZ69" s="262"/>
      <c r="EA69" s="262"/>
      <c r="EB69" s="262"/>
      <c r="EC69" s="262"/>
      <c r="ED69" s="262"/>
      <c r="EE69" s="262"/>
      <c r="EF69" s="262"/>
      <c r="EG69" s="262"/>
      <c r="EH69" s="262"/>
      <c r="EI69" s="262"/>
      <c r="EJ69" s="262"/>
      <c r="EK69" s="262"/>
      <c r="EL69" s="262"/>
      <c r="EM69" s="262"/>
      <c r="EN69" s="262"/>
      <c r="EO69" s="262"/>
      <c r="EP69" s="262"/>
      <c r="EQ69" s="262"/>
      <c r="ER69" s="262"/>
      <c r="ES69" s="262"/>
      <c r="ET69" s="262"/>
      <c r="EU69" s="262"/>
      <c r="EV69" s="262"/>
      <c r="EW69" s="262"/>
      <c r="EX69" s="262"/>
      <c r="EY69" s="262"/>
      <c r="EZ69" s="262"/>
      <c r="FA69" s="262"/>
      <c r="FB69" s="262"/>
      <c r="FC69" s="262"/>
      <c r="FD69" s="262"/>
      <c r="FE69" s="262"/>
      <c r="FF69" s="262"/>
      <c r="FG69" s="262"/>
      <c r="FH69" s="262"/>
      <c r="FI69" s="262"/>
      <c r="FJ69" s="262"/>
      <c r="FK69" s="262"/>
      <c r="FL69" s="262"/>
      <c r="FM69" s="262"/>
      <c r="FN69" s="262"/>
      <c r="FO69" s="262"/>
      <c r="FP69" s="262"/>
      <c r="FQ69" s="262"/>
      <c r="FR69" s="262"/>
      <c r="FS69" s="262"/>
      <c r="FT69" s="262"/>
      <c r="FU69" s="262"/>
      <c r="FV69" s="262"/>
      <c r="FW69" s="262"/>
      <c r="FX69" s="262"/>
      <c r="FY69" s="262"/>
      <c r="FZ69" s="262"/>
      <c r="GA69" s="262"/>
      <c r="GB69" s="262"/>
      <c r="GC69" s="262"/>
      <c r="GD69" s="262"/>
      <c r="GE69" s="262"/>
      <c r="GF69" s="262"/>
      <c r="GG69" s="262"/>
      <c r="GH69" s="262"/>
      <c r="GI69" s="262"/>
      <c r="GJ69" s="262"/>
      <c r="GK69" s="262"/>
      <c r="GL69" s="262"/>
      <c r="GM69" s="262"/>
      <c r="GN69" s="262"/>
      <c r="GO69" s="262"/>
      <c r="GP69" s="262"/>
      <c r="GQ69" s="262"/>
      <c r="GR69" s="262"/>
      <c r="GS69" s="262"/>
      <c r="GT69" s="262"/>
      <c r="GU69" s="262"/>
      <c r="GV69" s="262"/>
      <c r="GW69" s="262"/>
    </row>
    <row r="70" spans="1:205" ht="15" x14ac:dyDescent="0.25">
      <c r="A70" s="52" t="str">
        <f>IF(COUNTBLANK(B70)=1," ",COUNTA($B$12:B70))</f>
        <v xml:space="preserve"> </v>
      </c>
      <c r="B70" s="264"/>
      <c r="C70" s="285" t="s">
        <v>19</v>
      </c>
      <c r="D70" s="285"/>
      <c r="E70" s="285"/>
      <c r="F70" s="285"/>
      <c r="G70" s="282" t="s">
        <v>32</v>
      </c>
      <c r="H70" s="274">
        <f>ROUNDUP(H68*I70,0)</f>
        <v>505</v>
      </c>
      <c r="I70" s="274">
        <v>2</v>
      </c>
      <c r="J70" s="499"/>
      <c r="K70" s="499"/>
      <c r="L70" s="499"/>
      <c r="M70" s="499"/>
      <c r="N70" s="499"/>
      <c r="O70" s="314"/>
      <c r="P70" s="315"/>
      <c r="Q70" s="315"/>
      <c r="R70" s="315"/>
      <c r="S70" s="315"/>
      <c r="T70" s="315"/>
      <c r="U70" s="262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  <c r="AK70" s="262"/>
      <c r="AL70" s="262"/>
      <c r="AM70" s="262"/>
      <c r="AN70" s="262"/>
      <c r="AO70" s="262"/>
      <c r="AP70" s="262"/>
      <c r="AQ70" s="262"/>
      <c r="AR70" s="262"/>
      <c r="AS70" s="262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  <c r="BJ70" s="262"/>
      <c r="BK70" s="262"/>
      <c r="BL70" s="262"/>
      <c r="BM70" s="262"/>
      <c r="BN70" s="262"/>
      <c r="BO70" s="262"/>
      <c r="BP70" s="262"/>
      <c r="BQ70" s="262"/>
      <c r="BR70" s="262"/>
      <c r="BS70" s="262"/>
      <c r="BT70" s="262"/>
      <c r="BU70" s="262"/>
      <c r="BV70" s="262"/>
      <c r="BW70" s="262"/>
      <c r="BX70" s="262"/>
      <c r="BY70" s="262"/>
      <c r="BZ70" s="262"/>
      <c r="CA70" s="262"/>
      <c r="CB70" s="262"/>
      <c r="CC70" s="262"/>
      <c r="CD70" s="262"/>
      <c r="CE70" s="262"/>
      <c r="CF70" s="262"/>
      <c r="CG70" s="262"/>
      <c r="CH70" s="262"/>
      <c r="CI70" s="262"/>
      <c r="CJ70" s="262"/>
      <c r="CK70" s="262"/>
      <c r="CL70" s="262"/>
      <c r="CM70" s="262"/>
      <c r="CN70" s="262"/>
      <c r="CO70" s="262"/>
      <c r="CP70" s="262"/>
      <c r="CQ70" s="262"/>
      <c r="CR70" s="262"/>
      <c r="CS70" s="262"/>
      <c r="CT70" s="262"/>
      <c r="CU70" s="262"/>
      <c r="CV70" s="262"/>
      <c r="CW70" s="262"/>
      <c r="CX70" s="262"/>
      <c r="CY70" s="262"/>
      <c r="CZ70" s="262"/>
      <c r="DA70" s="262"/>
      <c r="DB70" s="262"/>
      <c r="DC70" s="262"/>
      <c r="DD70" s="262"/>
      <c r="DE70" s="262"/>
      <c r="DF70" s="262"/>
      <c r="DG70" s="262"/>
      <c r="DH70" s="262"/>
      <c r="DI70" s="262"/>
      <c r="DJ70" s="262"/>
      <c r="DK70" s="262"/>
      <c r="DL70" s="262"/>
      <c r="DM70" s="262"/>
      <c r="DN70" s="262"/>
      <c r="DO70" s="262"/>
      <c r="DP70" s="262"/>
      <c r="DQ70" s="262"/>
      <c r="DR70" s="262"/>
      <c r="DS70" s="262"/>
      <c r="DT70" s="262"/>
      <c r="DU70" s="262"/>
      <c r="DV70" s="262"/>
      <c r="DW70" s="262"/>
      <c r="DX70" s="262"/>
      <c r="DY70" s="262"/>
      <c r="DZ70" s="262"/>
      <c r="EA70" s="262"/>
      <c r="EB70" s="262"/>
      <c r="EC70" s="262"/>
      <c r="ED70" s="262"/>
      <c r="EE70" s="262"/>
      <c r="EF70" s="262"/>
      <c r="EG70" s="262"/>
      <c r="EH70" s="262"/>
      <c r="EI70" s="262"/>
      <c r="EJ70" s="262"/>
      <c r="EK70" s="262"/>
      <c r="EL70" s="262"/>
      <c r="EM70" s="262"/>
      <c r="EN70" s="262"/>
      <c r="EO70" s="262"/>
      <c r="EP70" s="262"/>
      <c r="EQ70" s="262"/>
      <c r="ER70" s="262"/>
      <c r="ES70" s="262"/>
      <c r="ET70" s="262"/>
      <c r="EU70" s="262"/>
      <c r="EV70" s="262"/>
      <c r="EW70" s="262"/>
      <c r="EX70" s="262"/>
      <c r="EY70" s="262"/>
      <c r="EZ70" s="262"/>
      <c r="FA70" s="262"/>
      <c r="FB70" s="262"/>
      <c r="FC70" s="262"/>
      <c r="FD70" s="262"/>
      <c r="FE70" s="262"/>
      <c r="FF70" s="262"/>
      <c r="FG70" s="262"/>
      <c r="FH70" s="262"/>
      <c r="FI70" s="262"/>
      <c r="FJ70" s="262"/>
      <c r="FK70" s="262"/>
      <c r="FL70" s="262"/>
      <c r="FM70" s="262"/>
      <c r="FN70" s="262"/>
      <c r="FO70" s="262"/>
      <c r="FP70" s="262"/>
      <c r="FQ70" s="262"/>
      <c r="FR70" s="262"/>
      <c r="FS70" s="262"/>
      <c r="FT70" s="262"/>
      <c r="FU70" s="262"/>
      <c r="FV70" s="262"/>
      <c r="FW70" s="262"/>
      <c r="FX70" s="262"/>
      <c r="FY70" s="262"/>
      <c r="FZ70" s="262"/>
      <c r="GA70" s="262"/>
      <c r="GB70" s="262"/>
      <c r="GC70" s="262"/>
      <c r="GD70" s="262"/>
      <c r="GE70" s="262"/>
      <c r="GF70" s="262"/>
      <c r="GG70" s="262"/>
      <c r="GH70" s="262"/>
      <c r="GI70" s="262"/>
      <c r="GJ70" s="262"/>
      <c r="GK70" s="262"/>
      <c r="GL70" s="262"/>
      <c r="GM70" s="262"/>
      <c r="GN70" s="262"/>
      <c r="GO70" s="262"/>
      <c r="GP70" s="262"/>
      <c r="GQ70" s="262"/>
      <c r="GR70" s="262"/>
      <c r="GS70" s="262"/>
      <c r="GT70" s="262"/>
      <c r="GU70" s="262"/>
      <c r="GV70" s="262"/>
      <c r="GW70" s="262"/>
    </row>
    <row r="71" spans="1:205" ht="15" x14ac:dyDescent="0.25">
      <c r="A71" s="52" t="str">
        <f>IF(COUNTBLANK(B71)=1," ",COUNTA($B$12:B71))</f>
        <v xml:space="preserve"> </v>
      </c>
      <c r="B71" s="264"/>
      <c r="C71" s="283" t="s">
        <v>20</v>
      </c>
      <c r="D71" s="283"/>
      <c r="E71" s="283"/>
      <c r="F71" s="283"/>
      <c r="G71" s="264" t="s">
        <v>52</v>
      </c>
      <c r="H71" s="274">
        <f>ROUNDUP(H68*I71,0)</f>
        <v>101</v>
      </c>
      <c r="I71" s="274">
        <v>0.4</v>
      </c>
      <c r="J71" s="499"/>
      <c r="K71" s="499"/>
      <c r="L71" s="499"/>
      <c r="M71" s="499"/>
      <c r="N71" s="499"/>
      <c r="O71" s="314"/>
      <c r="P71" s="315"/>
      <c r="Q71" s="315"/>
      <c r="R71" s="315"/>
      <c r="S71" s="315"/>
      <c r="T71" s="315"/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2"/>
      <c r="AK71" s="262"/>
      <c r="AL71" s="262"/>
      <c r="AM71" s="262"/>
      <c r="AN71" s="262"/>
      <c r="AO71" s="262"/>
      <c r="AP71" s="262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2"/>
      <c r="BN71" s="262"/>
      <c r="BO71" s="262"/>
      <c r="BP71" s="262"/>
      <c r="BQ71" s="262"/>
      <c r="BR71" s="262"/>
      <c r="BS71" s="262"/>
      <c r="BT71" s="262"/>
      <c r="BU71" s="262"/>
      <c r="BV71" s="262"/>
      <c r="BW71" s="262"/>
      <c r="BX71" s="262"/>
      <c r="BY71" s="262"/>
      <c r="BZ71" s="262"/>
      <c r="CA71" s="262"/>
      <c r="CB71" s="262"/>
      <c r="CC71" s="262"/>
      <c r="CD71" s="262"/>
      <c r="CE71" s="262"/>
      <c r="CF71" s="262"/>
      <c r="CG71" s="262"/>
      <c r="CH71" s="262"/>
      <c r="CI71" s="262"/>
      <c r="CJ71" s="262"/>
      <c r="CK71" s="262"/>
      <c r="CL71" s="262"/>
      <c r="CM71" s="262"/>
      <c r="CN71" s="262"/>
      <c r="CO71" s="262"/>
      <c r="CP71" s="262"/>
      <c r="CQ71" s="262"/>
      <c r="CR71" s="262"/>
      <c r="CS71" s="262"/>
      <c r="CT71" s="262"/>
      <c r="CU71" s="262"/>
      <c r="CV71" s="262"/>
      <c r="CW71" s="262"/>
      <c r="CX71" s="262"/>
      <c r="CY71" s="262"/>
      <c r="CZ71" s="262"/>
      <c r="DA71" s="262"/>
      <c r="DB71" s="262"/>
      <c r="DC71" s="262"/>
      <c r="DD71" s="262"/>
      <c r="DE71" s="262"/>
      <c r="DF71" s="262"/>
      <c r="DG71" s="262"/>
      <c r="DH71" s="262"/>
      <c r="DI71" s="262"/>
      <c r="DJ71" s="262"/>
      <c r="DK71" s="262"/>
      <c r="DL71" s="262"/>
      <c r="DM71" s="262"/>
      <c r="DN71" s="262"/>
      <c r="DO71" s="262"/>
      <c r="DP71" s="262"/>
      <c r="DQ71" s="262"/>
      <c r="DR71" s="262"/>
      <c r="DS71" s="262"/>
      <c r="DT71" s="262"/>
      <c r="DU71" s="262"/>
      <c r="DV71" s="262"/>
      <c r="DW71" s="262"/>
      <c r="DX71" s="262"/>
      <c r="DY71" s="262"/>
      <c r="DZ71" s="262"/>
      <c r="EA71" s="262"/>
      <c r="EB71" s="262"/>
      <c r="EC71" s="262"/>
      <c r="ED71" s="262"/>
      <c r="EE71" s="262"/>
      <c r="EF71" s="262"/>
      <c r="EG71" s="262"/>
      <c r="EH71" s="262"/>
      <c r="EI71" s="262"/>
      <c r="EJ71" s="262"/>
      <c r="EK71" s="262"/>
      <c r="EL71" s="262"/>
      <c r="EM71" s="262"/>
      <c r="EN71" s="262"/>
      <c r="EO71" s="262"/>
      <c r="EP71" s="262"/>
      <c r="EQ71" s="262"/>
      <c r="ER71" s="262"/>
      <c r="ES71" s="262"/>
      <c r="ET71" s="262"/>
      <c r="EU71" s="262"/>
      <c r="EV71" s="262"/>
      <c r="EW71" s="262"/>
      <c r="EX71" s="262"/>
      <c r="EY71" s="262"/>
      <c r="EZ71" s="262"/>
      <c r="FA71" s="262"/>
      <c r="FB71" s="262"/>
      <c r="FC71" s="262"/>
      <c r="FD71" s="262"/>
      <c r="FE71" s="262"/>
      <c r="FF71" s="262"/>
      <c r="FG71" s="262"/>
      <c r="FH71" s="262"/>
      <c r="FI71" s="262"/>
      <c r="FJ71" s="262"/>
      <c r="FK71" s="262"/>
      <c r="FL71" s="262"/>
      <c r="FM71" s="262"/>
      <c r="FN71" s="262"/>
      <c r="FO71" s="262"/>
      <c r="FP71" s="262"/>
      <c r="FQ71" s="262"/>
      <c r="FR71" s="262"/>
      <c r="FS71" s="262"/>
      <c r="FT71" s="262"/>
      <c r="FU71" s="262"/>
      <c r="FV71" s="262"/>
      <c r="FW71" s="262"/>
      <c r="FX71" s="262"/>
      <c r="FY71" s="262"/>
      <c r="FZ71" s="262"/>
      <c r="GA71" s="262"/>
      <c r="GB71" s="262"/>
      <c r="GC71" s="262"/>
      <c r="GD71" s="262"/>
      <c r="GE71" s="262"/>
      <c r="GF71" s="262"/>
      <c r="GG71" s="262"/>
      <c r="GH71" s="262"/>
      <c r="GI71" s="262"/>
      <c r="GJ71" s="262"/>
      <c r="GK71" s="262"/>
      <c r="GL71" s="262"/>
      <c r="GM71" s="262"/>
      <c r="GN71" s="262"/>
      <c r="GO71" s="262"/>
      <c r="GP71" s="262"/>
      <c r="GQ71" s="262"/>
      <c r="GR71" s="262"/>
      <c r="GS71" s="262"/>
      <c r="GT71" s="262"/>
      <c r="GU71" s="262"/>
      <c r="GV71" s="262"/>
      <c r="GW71" s="262"/>
    </row>
    <row r="72" spans="1:205" ht="15" x14ac:dyDescent="0.25">
      <c r="A72" s="52" t="str">
        <f>IF(COUNTBLANK(B72)=1," ",COUNTA($B$12:B72))</f>
        <v xml:space="preserve"> </v>
      </c>
      <c r="B72" s="264"/>
      <c r="C72" s="283" t="s">
        <v>21</v>
      </c>
      <c r="D72" s="283"/>
      <c r="E72" s="283"/>
      <c r="F72" s="283"/>
      <c r="G72" s="282" t="s">
        <v>32</v>
      </c>
      <c r="H72" s="274">
        <f>ROUNDUP(H68*I72,0)</f>
        <v>631</v>
      </c>
      <c r="I72" s="274">
        <v>2.5</v>
      </c>
      <c r="J72" s="502"/>
      <c r="K72" s="502"/>
      <c r="L72" s="503"/>
      <c r="M72" s="503"/>
      <c r="N72" s="502"/>
      <c r="O72" s="314"/>
      <c r="P72" s="315"/>
      <c r="Q72" s="315"/>
      <c r="R72" s="315"/>
      <c r="S72" s="315"/>
      <c r="T72" s="315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262"/>
      <c r="BE72" s="262"/>
      <c r="BF72" s="262"/>
      <c r="BG72" s="262"/>
      <c r="BH72" s="262"/>
      <c r="BI72" s="262"/>
      <c r="BJ72" s="262"/>
      <c r="BK72" s="262"/>
      <c r="BL72" s="262"/>
      <c r="BM72" s="262"/>
      <c r="BN72" s="262"/>
      <c r="BO72" s="262"/>
      <c r="BP72" s="262"/>
      <c r="BQ72" s="262"/>
      <c r="BR72" s="262"/>
      <c r="BS72" s="262"/>
      <c r="BT72" s="262"/>
      <c r="BU72" s="262"/>
      <c r="BV72" s="262"/>
      <c r="BW72" s="262"/>
      <c r="BX72" s="262"/>
      <c r="BY72" s="262"/>
      <c r="BZ72" s="262"/>
      <c r="CA72" s="262"/>
      <c r="CB72" s="262"/>
      <c r="CC72" s="262"/>
      <c r="CD72" s="262"/>
      <c r="CE72" s="262"/>
      <c r="CF72" s="262"/>
      <c r="CG72" s="262"/>
      <c r="CH72" s="262"/>
      <c r="CI72" s="262"/>
      <c r="CJ72" s="262"/>
      <c r="CK72" s="262"/>
      <c r="CL72" s="262"/>
      <c r="CM72" s="262"/>
      <c r="CN72" s="262"/>
      <c r="CO72" s="262"/>
      <c r="CP72" s="262"/>
      <c r="CQ72" s="262"/>
      <c r="CR72" s="262"/>
      <c r="CS72" s="262"/>
      <c r="CT72" s="262"/>
      <c r="CU72" s="262"/>
      <c r="CV72" s="262"/>
      <c r="CW72" s="262"/>
      <c r="CX72" s="262"/>
      <c r="CY72" s="262"/>
      <c r="CZ72" s="262"/>
      <c r="DA72" s="262"/>
      <c r="DB72" s="262"/>
      <c r="DC72" s="262"/>
      <c r="DD72" s="262"/>
      <c r="DE72" s="262"/>
      <c r="DF72" s="262"/>
      <c r="DG72" s="262"/>
      <c r="DH72" s="262"/>
      <c r="DI72" s="262"/>
      <c r="DJ72" s="262"/>
      <c r="DK72" s="262"/>
      <c r="DL72" s="262"/>
      <c r="DM72" s="262"/>
      <c r="DN72" s="262"/>
      <c r="DO72" s="262"/>
      <c r="DP72" s="262"/>
      <c r="DQ72" s="262"/>
      <c r="DR72" s="262"/>
      <c r="DS72" s="262"/>
      <c r="DT72" s="262"/>
      <c r="DU72" s="262"/>
      <c r="DV72" s="262"/>
      <c r="DW72" s="262"/>
      <c r="DX72" s="262"/>
      <c r="DY72" s="262"/>
      <c r="DZ72" s="262"/>
      <c r="EA72" s="262"/>
      <c r="EB72" s="262"/>
      <c r="EC72" s="262"/>
      <c r="ED72" s="262"/>
      <c r="EE72" s="262"/>
      <c r="EF72" s="262"/>
      <c r="EG72" s="262"/>
      <c r="EH72" s="262"/>
      <c r="EI72" s="262"/>
      <c r="EJ72" s="262"/>
      <c r="EK72" s="262"/>
      <c r="EL72" s="262"/>
      <c r="EM72" s="262"/>
      <c r="EN72" s="262"/>
      <c r="EO72" s="262"/>
      <c r="EP72" s="262"/>
      <c r="EQ72" s="262"/>
      <c r="ER72" s="262"/>
      <c r="ES72" s="262"/>
      <c r="ET72" s="262"/>
      <c r="EU72" s="262"/>
      <c r="EV72" s="262"/>
      <c r="EW72" s="262"/>
      <c r="EX72" s="262"/>
      <c r="EY72" s="262"/>
      <c r="EZ72" s="262"/>
      <c r="FA72" s="262"/>
      <c r="FB72" s="262"/>
      <c r="FC72" s="262"/>
      <c r="FD72" s="262"/>
      <c r="FE72" s="262"/>
      <c r="FF72" s="262"/>
      <c r="FG72" s="262"/>
      <c r="FH72" s="262"/>
      <c r="FI72" s="262"/>
      <c r="FJ72" s="262"/>
      <c r="FK72" s="262"/>
      <c r="FL72" s="262"/>
      <c r="FM72" s="262"/>
      <c r="FN72" s="262"/>
      <c r="FO72" s="262"/>
      <c r="FP72" s="262"/>
      <c r="FQ72" s="262"/>
      <c r="FR72" s="262"/>
      <c r="FS72" s="262"/>
      <c r="FT72" s="262"/>
      <c r="FU72" s="262"/>
      <c r="FV72" s="262"/>
      <c r="FW72" s="262"/>
      <c r="FX72" s="262"/>
      <c r="FY72" s="262"/>
      <c r="FZ72" s="262"/>
      <c r="GA72" s="262"/>
      <c r="GB72" s="262"/>
      <c r="GC72" s="262"/>
      <c r="GD72" s="262"/>
      <c r="GE72" s="262"/>
      <c r="GF72" s="262"/>
      <c r="GG72" s="262"/>
      <c r="GH72" s="262"/>
      <c r="GI72" s="262"/>
      <c r="GJ72" s="262"/>
      <c r="GK72" s="262"/>
      <c r="GL72" s="262"/>
      <c r="GM72" s="262"/>
      <c r="GN72" s="262"/>
      <c r="GO72" s="262"/>
      <c r="GP72" s="262"/>
      <c r="GQ72" s="262"/>
      <c r="GR72" s="262"/>
      <c r="GS72" s="262"/>
      <c r="GT72" s="262"/>
      <c r="GU72" s="262"/>
      <c r="GV72" s="262"/>
      <c r="GW72" s="262"/>
    </row>
    <row r="73" spans="1:205" ht="15" x14ac:dyDescent="0.25">
      <c r="A73" s="52" t="str">
        <f>IF(COUNTBLANK(B73)=1," ",COUNTA($B$12:B73))</f>
        <v xml:space="preserve"> </v>
      </c>
      <c r="B73" s="264"/>
      <c r="C73" s="283" t="s">
        <v>213</v>
      </c>
      <c r="D73" s="283"/>
      <c r="E73" s="283"/>
      <c r="F73" s="283"/>
      <c r="G73" s="264" t="s">
        <v>52</v>
      </c>
      <c r="H73" s="274">
        <f>ROUNDUP(H68*I73,2)</f>
        <v>63.1</v>
      </c>
      <c r="I73" s="274">
        <v>0.25</v>
      </c>
      <c r="J73" s="500"/>
      <c r="K73" s="500"/>
      <c r="L73" s="499"/>
      <c r="M73" s="499"/>
      <c r="N73" s="500"/>
      <c r="O73" s="314"/>
      <c r="P73" s="315"/>
      <c r="Q73" s="315"/>
      <c r="R73" s="315"/>
      <c r="S73" s="315"/>
      <c r="T73" s="315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262"/>
      <c r="BP73" s="262"/>
      <c r="BQ73" s="262"/>
      <c r="BR73" s="262"/>
      <c r="BS73" s="262"/>
      <c r="BT73" s="262"/>
      <c r="BU73" s="262"/>
      <c r="BV73" s="262"/>
      <c r="BW73" s="262"/>
      <c r="BX73" s="262"/>
      <c r="BY73" s="262"/>
      <c r="BZ73" s="262"/>
      <c r="CA73" s="262"/>
      <c r="CB73" s="262"/>
      <c r="CC73" s="262"/>
      <c r="CD73" s="262"/>
      <c r="CE73" s="262"/>
      <c r="CF73" s="262"/>
      <c r="CG73" s="262"/>
      <c r="CH73" s="262"/>
      <c r="CI73" s="262"/>
      <c r="CJ73" s="262"/>
      <c r="CK73" s="262"/>
      <c r="CL73" s="262"/>
      <c r="CM73" s="262"/>
      <c r="CN73" s="262"/>
      <c r="CO73" s="262"/>
      <c r="CP73" s="262"/>
      <c r="CQ73" s="262"/>
      <c r="CR73" s="262"/>
      <c r="CS73" s="262"/>
      <c r="CT73" s="262"/>
      <c r="CU73" s="262"/>
      <c r="CV73" s="262"/>
      <c r="CW73" s="262"/>
      <c r="CX73" s="262"/>
      <c r="CY73" s="262"/>
      <c r="CZ73" s="262"/>
      <c r="DA73" s="262"/>
      <c r="DB73" s="262"/>
      <c r="DC73" s="262"/>
      <c r="DD73" s="262"/>
      <c r="DE73" s="262"/>
      <c r="DF73" s="262"/>
      <c r="DG73" s="262"/>
      <c r="DH73" s="262"/>
      <c r="DI73" s="262"/>
      <c r="DJ73" s="262"/>
      <c r="DK73" s="262"/>
      <c r="DL73" s="262"/>
      <c r="DM73" s="262"/>
      <c r="DN73" s="262"/>
      <c r="DO73" s="262"/>
      <c r="DP73" s="262"/>
      <c r="DQ73" s="262"/>
      <c r="DR73" s="262"/>
      <c r="DS73" s="262"/>
      <c r="DT73" s="262"/>
      <c r="DU73" s="262"/>
      <c r="DV73" s="262"/>
      <c r="DW73" s="262"/>
      <c r="DX73" s="262"/>
      <c r="DY73" s="262"/>
      <c r="DZ73" s="262"/>
      <c r="EA73" s="262"/>
      <c r="EB73" s="262"/>
      <c r="EC73" s="262"/>
      <c r="ED73" s="262"/>
      <c r="EE73" s="262"/>
      <c r="EF73" s="262"/>
      <c r="EG73" s="262"/>
      <c r="EH73" s="262"/>
      <c r="EI73" s="262"/>
      <c r="EJ73" s="262"/>
      <c r="EK73" s="262"/>
      <c r="EL73" s="262"/>
      <c r="EM73" s="262"/>
      <c r="EN73" s="262"/>
      <c r="EO73" s="262"/>
      <c r="EP73" s="262"/>
      <c r="EQ73" s="262"/>
      <c r="ER73" s="262"/>
      <c r="ES73" s="262"/>
      <c r="ET73" s="262"/>
      <c r="EU73" s="262"/>
      <c r="EV73" s="262"/>
      <c r="EW73" s="262"/>
      <c r="EX73" s="262"/>
      <c r="EY73" s="262"/>
      <c r="EZ73" s="262"/>
      <c r="FA73" s="262"/>
      <c r="FB73" s="262"/>
      <c r="FC73" s="262"/>
      <c r="FD73" s="262"/>
      <c r="FE73" s="262"/>
      <c r="FF73" s="262"/>
      <c r="FG73" s="262"/>
      <c r="FH73" s="262"/>
      <c r="FI73" s="262"/>
      <c r="FJ73" s="262"/>
      <c r="FK73" s="262"/>
      <c r="FL73" s="262"/>
      <c r="FM73" s="262"/>
      <c r="FN73" s="262"/>
      <c r="FO73" s="262"/>
      <c r="FP73" s="262"/>
      <c r="FQ73" s="262"/>
      <c r="FR73" s="262"/>
      <c r="FS73" s="262"/>
      <c r="FT73" s="262"/>
      <c r="FU73" s="262"/>
      <c r="FV73" s="262"/>
      <c r="FW73" s="262"/>
      <c r="FX73" s="262"/>
      <c r="FY73" s="262"/>
      <c r="FZ73" s="262"/>
      <c r="GA73" s="262"/>
      <c r="GB73" s="262"/>
      <c r="GC73" s="262"/>
      <c r="GD73" s="262"/>
      <c r="GE73" s="262"/>
      <c r="GF73" s="262"/>
      <c r="GG73" s="262"/>
      <c r="GH73" s="262"/>
      <c r="GI73" s="262"/>
      <c r="GJ73" s="262"/>
      <c r="GK73" s="262"/>
      <c r="GL73" s="262"/>
      <c r="GM73" s="262"/>
      <c r="GN73" s="262"/>
      <c r="GO73" s="262"/>
      <c r="GP73" s="262"/>
      <c r="GQ73" s="262"/>
      <c r="GR73" s="262"/>
      <c r="GS73" s="262"/>
      <c r="GT73" s="262"/>
      <c r="GU73" s="262"/>
      <c r="GV73" s="262"/>
      <c r="GW73" s="262"/>
    </row>
    <row r="74" spans="1:205" ht="15" x14ac:dyDescent="0.25">
      <c r="A74" s="52" t="str">
        <f>IF(COUNTBLANK(B74)=1," ",COUNTA($B$12:B74))</f>
        <v xml:space="preserve"> </v>
      </c>
      <c r="B74" s="264"/>
      <c r="C74" s="283" t="s">
        <v>22</v>
      </c>
      <c r="D74" s="283"/>
      <c r="E74" s="283"/>
      <c r="F74" s="283"/>
      <c r="G74" s="264" t="s">
        <v>16</v>
      </c>
      <c r="H74" s="274">
        <f>ROUNDUP(H68*I74,0)</f>
        <v>162</v>
      </c>
      <c r="I74" s="274">
        <v>0.64</v>
      </c>
      <c r="J74" s="504"/>
      <c r="K74" s="504"/>
      <c r="L74" s="498"/>
      <c r="M74" s="498"/>
      <c r="N74" s="504"/>
      <c r="O74" s="314"/>
      <c r="P74" s="315"/>
      <c r="Q74" s="315"/>
      <c r="R74" s="315"/>
      <c r="S74" s="315"/>
      <c r="T74" s="315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262"/>
      <c r="BC74" s="262"/>
      <c r="BD74" s="262"/>
      <c r="BE74" s="262"/>
      <c r="BF74" s="262"/>
      <c r="BG74" s="262"/>
      <c r="BH74" s="262"/>
      <c r="BI74" s="262"/>
      <c r="BJ74" s="262"/>
      <c r="BK74" s="262"/>
      <c r="BL74" s="262"/>
      <c r="BM74" s="262"/>
      <c r="BN74" s="262"/>
      <c r="BO74" s="262"/>
      <c r="BP74" s="262"/>
      <c r="BQ74" s="262"/>
      <c r="BR74" s="262"/>
      <c r="BS74" s="262"/>
      <c r="BT74" s="262"/>
      <c r="BU74" s="262"/>
      <c r="BV74" s="262"/>
      <c r="BW74" s="262"/>
      <c r="BX74" s="262"/>
      <c r="BY74" s="262"/>
      <c r="BZ74" s="262"/>
      <c r="CA74" s="262"/>
      <c r="CB74" s="262"/>
      <c r="CC74" s="262"/>
      <c r="CD74" s="262"/>
      <c r="CE74" s="262"/>
      <c r="CF74" s="262"/>
      <c r="CG74" s="262"/>
      <c r="CH74" s="262"/>
      <c r="CI74" s="262"/>
      <c r="CJ74" s="262"/>
      <c r="CK74" s="262"/>
      <c r="CL74" s="262"/>
      <c r="CM74" s="262"/>
      <c r="CN74" s="262"/>
      <c r="CO74" s="262"/>
      <c r="CP74" s="262"/>
      <c r="CQ74" s="262"/>
      <c r="CR74" s="262"/>
      <c r="CS74" s="262"/>
      <c r="CT74" s="262"/>
      <c r="CU74" s="262"/>
      <c r="CV74" s="262"/>
      <c r="CW74" s="262"/>
      <c r="CX74" s="262"/>
      <c r="CY74" s="262"/>
      <c r="CZ74" s="262"/>
      <c r="DA74" s="262"/>
      <c r="DB74" s="262"/>
      <c r="DC74" s="262"/>
      <c r="DD74" s="262"/>
      <c r="DE74" s="262"/>
      <c r="DF74" s="262"/>
      <c r="DG74" s="262"/>
      <c r="DH74" s="262"/>
      <c r="DI74" s="262"/>
      <c r="DJ74" s="262"/>
      <c r="DK74" s="262"/>
      <c r="DL74" s="262"/>
      <c r="DM74" s="262"/>
      <c r="DN74" s="262"/>
      <c r="DO74" s="262"/>
      <c r="DP74" s="262"/>
      <c r="DQ74" s="262"/>
      <c r="DR74" s="262"/>
      <c r="DS74" s="262"/>
      <c r="DT74" s="262"/>
      <c r="DU74" s="262"/>
      <c r="DV74" s="262"/>
      <c r="DW74" s="262"/>
      <c r="DX74" s="262"/>
      <c r="DY74" s="262"/>
      <c r="DZ74" s="262"/>
      <c r="EA74" s="262"/>
      <c r="EB74" s="262"/>
      <c r="EC74" s="262"/>
      <c r="ED74" s="262"/>
      <c r="EE74" s="262"/>
      <c r="EF74" s="262"/>
      <c r="EG74" s="262"/>
      <c r="EH74" s="262"/>
      <c r="EI74" s="262"/>
      <c r="EJ74" s="262"/>
      <c r="EK74" s="262"/>
      <c r="EL74" s="262"/>
      <c r="EM74" s="262"/>
      <c r="EN74" s="262"/>
      <c r="EO74" s="262"/>
      <c r="EP74" s="262"/>
      <c r="EQ74" s="262"/>
      <c r="ER74" s="262"/>
      <c r="ES74" s="262"/>
      <c r="ET74" s="262"/>
      <c r="EU74" s="262"/>
      <c r="EV74" s="262"/>
      <c r="EW74" s="262"/>
      <c r="EX74" s="262"/>
      <c r="EY74" s="262"/>
      <c r="EZ74" s="262"/>
      <c r="FA74" s="262"/>
      <c r="FB74" s="262"/>
      <c r="FC74" s="262"/>
      <c r="FD74" s="262"/>
      <c r="FE74" s="262"/>
      <c r="FF74" s="262"/>
      <c r="FG74" s="262"/>
      <c r="FH74" s="262"/>
      <c r="FI74" s="262"/>
      <c r="FJ74" s="262"/>
      <c r="FK74" s="262"/>
      <c r="FL74" s="262"/>
      <c r="FM74" s="262"/>
      <c r="FN74" s="262"/>
      <c r="FO74" s="262"/>
      <c r="FP74" s="262"/>
      <c r="FQ74" s="262"/>
      <c r="FR74" s="262"/>
      <c r="FS74" s="262"/>
      <c r="FT74" s="262"/>
      <c r="FU74" s="262"/>
      <c r="FV74" s="262"/>
      <c r="FW74" s="262"/>
      <c r="FX74" s="262"/>
      <c r="FY74" s="262"/>
      <c r="FZ74" s="262"/>
      <c r="GA74" s="262"/>
      <c r="GB74" s="262"/>
      <c r="GC74" s="262"/>
      <c r="GD74" s="262"/>
      <c r="GE74" s="262"/>
      <c r="GF74" s="262"/>
      <c r="GG74" s="262"/>
      <c r="GH74" s="262"/>
      <c r="GI74" s="262"/>
      <c r="GJ74" s="262"/>
      <c r="GK74" s="262"/>
      <c r="GL74" s="262"/>
      <c r="GM74" s="262"/>
      <c r="GN74" s="262"/>
      <c r="GO74" s="262"/>
      <c r="GP74" s="262"/>
      <c r="GQ74" s="262"/>
      <c r="GR74" s="262"/>
      <c r="GS74" s="262"/>
      <c r="GT74" s="262"/>
      <c r="GU74" s="262"/>
      <c r="GV74" s="262"/>
      <c r="GW74" s="262"/>
    </row>
    <row r="75" spans="1:205" s="146" customFormat="1" ht="22.5" x14ac:dyDescent="0.25">
      <c r="A75" s="52">
        <f>IF(COUNTBLANK(B75)=1," ",COUNTA($B$12:B75))</f>
        <v>42</v>
      </c>
      <c r="B75" s="13" t="s">
        <v>14</v>
      </c>
      <c r="C75" s="14" t="s">
        <v>771</v>
      </c>
      <c r="D75" s="57"/>
      <c r="E75" s="57"/>
      <c r="F75" s="57"/>
      <c r="G75" s="57" t="s">
        <v>17</v>
      </c>
      <c r="H75" s="85">
        <f>apjom!N76</f>
        <v>81.656000000000006</v>
      </c>
      <c r="I75" s="131"/>
      <c r="J75" s="500"/>
      <c r="K75" s="499"/>
      <c r="L75" s="500"/>
      <c r="M75" s="641"/>
      <c r="N75" s="500"/>
      <c r="O75" s="314"/>
      <c r="P75" s="315"/>
      <c r="Q75" s="315"/>
      <c r="R75" s="315"/>
      <c r="S75" s="315"/>
      <c r="T75" s="315"/>
    </row>
    <row r="76" spans="1:205" s="147" customFormat="1" x14ac:dyDescent="0.25">
      <c r="A76" s="52" t="str">
        <f>IF(COUNTBLANK(B76)=1," ",COUNTA($B$12:B76))</f>
        <v xml:space="preserve"> </v>
      </c>
      <c r="B76" s="132"/>
      <c r="C76" s="688" t="s">
        <v>215</v>
      </c>
      <c r="D76" s="34"/>
      <c r="E76" s="34"/>
      <c r="F76" s="34"/>
      <c r="G76" s="34" t="s">
        <v>16</v>
      </c>
      <c r="H76" s="274">
        <f>ROUNDUP(H75*I76,2)</f>
        <v>24.5</v>
      </c>
      <c r="I76" s="34">
        <v>0.3</v>
      </c>
      <c r="J76" s="500"/>
      <c r="K76" s="500"/>
      <c r="L76" s="500"/>
      <c r="M76" s="500"/>
      <c r="N76" s="500"/>
      <c r="O76" s="314"/>
      <c r="P76" s="315"/>
      <c r="Q76" s="315"/>
      <c r="R76" s="315"/>
      <c r="S76" s="315"/>
      <c r="T76" s="315"/>
    </row>
    <row r="77" spans="1:205" s="147" customFormat="1" x14ac:dyDescent="0.25">
      <c r="A77" s="52" t="str">
        <f>IF(COUNTBLANK(B77)=1," ",COUNTA($B$12:B77))</f>
        <v xml:space="preserve"> </v>
      </c>
      <c r="B77" s="132"/>
      <c r="C77" s="14" t="s">
        <v>877</v>
      </c>
      <c r="D77" s="34"/>
      <c r="E77" s="34"/>
      <c r="F77" s="34"/>
      <c r="G77" s="34" t="s">
        <v>17</v>
      </c>
      <c r="H77" s="274">
        <f>ROUNDUP(H75*I77,2)</f>
        <v>97.990000000000009</v>
      </c>
      <c r="I77" s="34">
        <v>1.2</v>
      </c>
      <c r="J77" s="500"/>
      <c r="K77" s="500"/>
      <c r="L77" s="500"/>
      <c r="M77" s="500"/>
      <c r="N77" s="500"/>
      <c r="O77" s="314"/>
      <c r="P77" s="315"/>
      <c r="Q77" s="315"/>
      <c r="R77" s="315"/>
      <c r="S77" s="315"/>
      <c r="T77" s="315"/>
    </row>
    <row r="78" spans="1:205" s="147" customFormat="1" x14ac:dyDescent="0.25">
      <c r="A78" s="52" t="str">
        <f>IF(COUNTBLANK(B78)=1," ",COUNTA($B$12:B78))</f>
        <v xml:space="preserve"> </v>
      </c>
      <c r="B78" s="132"/>
      <c r="C78" s="100" t="s">
        <v>216</v>
      </c>
      <c r="D78" s="34"/>
      <c r="E78" s="34"/>
      <c r="F78" s="34"/>
      <c r="G78" s="34" t="s">
        <v>17</v>
      </c>
      <c r="H78" s="274">
        <f>ROUNDUP(H75*I78,2)</f>
        <v>97.990000000000009</v>
      </c>
      <c r="I78" s="34">
        <v>1.2</v>
      </c>
      <c r="J78" s="500"/>
      <c r="K78" s="500"/>
      <c r="L78" s="500"/>
      <c r="M78" s="500"/>
      <c r="N78" s="500"/>
      <c r="O78" s="314"/>
      <c r="P78" s="315"/>
      <c r="Q78" s="315"/>
      <c r="R78" s="315"/>
      <c r="S78" s="315"/>
      <c r="T78" s="315"/>
    </row>
    <row r="79" spans="1:205" s="147" customFormat="1" x14ac:dyDescent="0.25">
      <c r="A79" s="52" t="str">
        <f>IF(COUNTBLANK(B79)=1," ",COUNTA($B$12:B79))</f>
        <v xml:space="preserve"> </v>
      </c>
      <c r="B79" s="132"/>
      <c r="C79" s="16" t="s">
        <v>217</v>
      </c>
      <c r="D79" s="34"/>
      <c r="E79" s="34"/>
      <c r="F79" s="34"/>
      <c r="G79" s="34" t="s">
        <v>23</v>
      </c>
      <c r="H79" s="274">
        <f>ROUNDUP(H75*I79,2)</f>
        <v>302.13</v>
      </c>
      <c r="I79" s="34">
        <v>3.7</v>
      </c>
      <c r="J79" s="500"/>
      <c r="K79" s="500"/>
      <c r="L79" s="500"/>
      <c r="M79" s="500"/>
      <c r="N79" s="500"/>
      <c r="O79" s="314"/>
      <c r="P79" s="315"/>
      <c r="Q79" s="315"/>
      <c r="R79" s="315"/>
      <c r="S79" s="315"/>
      <c r="T79" s="315"/>
    </row>
    <row r="80" spans="1:205" s="147" customFormat="1" x14ac:dyDescent="0.25">
      <c r="A80" s="52" t="str">
        <f>IF(COUNTBLANK(B80)=1," ",COUNTA($B$12:B80))</f>
        <v xml:space="preserve"> </v>
      </c>
      <c r="B80" s="132"/>
      <c r="C80" s="14" t="s">
        <v>218</v>
      </c>
      <c r="D80" s="34"/>
      <c r="E80" s="34"/>
      <c r="F80" s="34"/>
      <c r="G80" s="34" t="s">
        <v>23</v>
      </c>
      <c r="H80" s="274">
        <f>ROUNDUP(H75*I80,2)</f>
        <v>65.33</v>
      </c>
      <c r="I80" s="34">
        <v>0.8</v>
      </c>
      <c r="J80" s="500"/>
      <c r="K80" s="500"/>
      <c r="L80" s="500"/>
      <c r="M80" s="500"/>
      <c r="N80" s="500"/>
      <c r="O80" s="314"/>
      <c r="P80" s="315"/>
      <c r="Q80" s="315"/>
      <c r="R80" s="315"/>
      <c r="S80" s="315"/>
      <c r="T80" s="315"/>
    </row>
    <row r="81" spans="1:20" s="147" customFormat="1" x14ac:dyDescent="0.25">
      <c r="A81" s="52" t="str">
        <f>IF(COUNTBLANK(B81)=1," ",COUNTA($B$12:B81))</f>
        <v xml:space="preserve"> </v>
      </c>
      <c r="B81" s="132"/>
      <c r="C81" s="16" t="s">
        <v>878</v>
      </c>
      <c r="D81" s="34"/>
      <c r="E81" s="34"/>
      <c r="F81" s="34"/>
      <c r="G81" s="34" t="s">
        <v>23</v>
      </c>
      <c r="H81" s="274">
        <f>ROUNDUP(H75*I81,2)</f>
        <v>32.669999999999995</v>
      </c>
      <c r="I81" s="34">
        <v>0.4</v>
      </c>
      <c r="J81" s="500"/>
      <c r="K81" s="500"/>
      <c r="L81" s="500"/>
      <c r="M81" s="500"/>
      <c r="N81" s="500"/>
      <c r="O81" s="314"/>
      <c r="P81" s="315"/>
      <c r="Q81" s="315"/>
      <c r="R81" s="315"/>
      <c r="S81" s="315"/>
      <c r="T81" s="315"/>
    </row>
    <row r="82" spans="1:20" s="147" customFormat="1" x14ac:dyDescent="0.25">
      <c r="A82" s="52" t="str">
        <f>IF(COUNTBLANK(B82)=1," ",COUNTA($B$12:B82))</f>
        <v xml:space="preserve"> </v>
      </c>
      <c r="B82" s="132"/>
      <c r="C82" s="379" t="s">
        <v>24</v>
      </c>
      <c r="D82" s="34"/>
      <c r="E82" s="34"/>
      <c r="F82" s="34"/>
      <c r="G82" s="282" t="s">
        <v>32</v>
      </c>
      <c r="H82" s="274">
        <f>ROUNDUP(H75*I82,0)</f>
        <v>5</v>
      </c>
      <c r="I82" s="34">
        <v>0.05</v>
      </c>
      <c r="J82" s="10"/>
      <c r="K82" s="10"/>
      <c r="L82" s="10"/>
      <c r="M82" s="10"/>
      <c r="N82" s="10"/>
      <c r="O82" s="314"/>
      <c r="P82" s="315"/>
      <c r="Q82" s="315"/>
      <c r="R82" s="315"/>
      <c r="S82" s="315"/>
      <c r="T82" s="315"/>
    </row>
    <row r="83" spans="1:20" s="147" customFormat="1" ht="22.5" x14ac:dyDescent="0.25">
      <c r="A83" s="52">
        <f>IF(COUNTBLANK(B83)=1," ",COUNTA($B$12:B83))</f>
        <v>43</v>
      </c>
      <c r="B83" s="13" t="s">
        <v>14</v>
      </c>
      <c r="C83" s="297" t="s">
        <v>772</v>
      </c>
      <c r="D83" s="57"/>
      <c r="E83" s="57"/>
      <c r="F83" s="57"/>
      <c r="G83" s="57" t="s">
        <v>16</v>
      </c>
      <c r="H83" s="85">
        <f>apjom!O76</f>
        <v>274.62400000000002</v>
      </c>
      <c r="I83" s="131"/>
      <c r="J83" s="500"/>
      <c r="K83" s="499"/>
      <c r="L83" s="500"/>
      <c r="M83" s="500"/>
      <c r="N83" s="500"/>
      <c r="O83" s="314"/>
      <c r="P83" s="315"/>
      <c r="Q83" s="315"/>
      <c r="R83" s="315"/>
      <c r="S83" s="315"/>
      <c r="T83" s="315"/>
    </row>
    <row r="84" spans="1:20" s="147" customFormat="1" ht="22.5" x14ac:dyDescent="0.25">
      <c r="A84" s="52">
        <f>IF(COUNTBLANK(B84)=1," ",COUNTA($B$12:B84))</f>
        <v>44</v>
      </c>
      <c r="B84" s="13" t="s">
        <v>14</v>
      </c>
      <c r="C84" s="54" t="s">
        <v>714</v>
      </c>
      <c r="D84" s="743"/>
      <c r="E84" s="743"/>
      <c r="F84" s="743"/>
      <c r="G84" s="743" t="s">
        <v>201</v>
      </c>
      <c r="H84" s="53">
        <f>D56</f>
        <v>26</v>
      </c>
      <c r="I84" s="59"/>
      <c r="J84" s="421"/>
      <c r="K84" s="499"/>
      <c r="L84" s="421"/>
      <c r="M84" s="505"/>
      <c r="N84" s="421"/>
      <c r="O84" s="314"/>
      <c r="P84" s="315"/>
      <c r="Q84" s="315"/>
      <c r="R84" s="315"/>
      <c r="S84" s="315"/>
      <c r="T84" s="315"/>
    </row>
    <row r="85" spans="1:20" s="147" customFormat="1" ht="22.5" x14ac:dyDescent="0.25">
      <c r="A85" s="52">
        <f>IF(COUNTBLANK(B85)=1," ",COUNTA($B$12:B85))</f>
        <v>45</v>
      </c>
      <c r="B85" s="13" t="s">
        <v>14</v>
      </c>
      <c r="C85" s="54" t="s">
        <v>717</v>
      </c>
      <c r="D85" s="743"/>
      <c r="E85" s="743"/>
      <c r="F85" s="743"/>
      <c r="G85" s="743" t="s">
        <v>201</v>
      </c>
      <c r="H85" s="520">
        <f>apjom!E81</f>
        <v>46</v>
      </c>
      <c r="I85" s="59"/>
      <c r="J85" s="421"/>
      <c r="K85" s="499"/>
      <c r="L85" s="421"/>
      <c r="M85" s="505"/>
      <c r="N85" s="421"/>
      <c r="O85" s="314"/>
      <c r="P85" s="315"/>
      <c r="Q85" s="315"/>
      <c r="R85" s="315"/>
      <c r="S85" s="315"/>
      <c r="T85" s="315"/>
    </row>
    <row r="86" spans="1:20" s="147" customFormat="1" x14ac:dyDescent="0.25">
      <c r="A86" s="52">
        <f>IF(COUNTBLANK(B86)=1," ",COUNTA($B$12:B86))</f>
        <v>46</v>
      </c>
      <c r="B86" s="13" t="s">
        <v>14</v>
      </c>
      <c r="C86" s="382" t="s">
        <v>30</v>
      </c>
      <c r="D86" s="152"/>
      <c r="E86" s="152"/>
      <c r="F86" s="743"/>
      <c r="G86" s="87" t="s">
        <v>26</v>
      </c>
      <c r="H86" s="15">
        <f>H14*1*3*0.05+H13*0.04</f>
        <v>14.089600000000001</v>
      </c>
      <c r="I86" s="59"/>
      <c r="J86" s="212"/>
      <c r="K86" s="499"/>
      <c r="L86" s="639"/>
      <c r="M86" s="640"/>
      <c r="N86" s="212"/>
      <c r="O86" s="314"/>
      <c r="P86" s="315"/>
      <c r="Q86" s="315"/>
      <c r="R86" s="315"/>
      <c r="S86" s="315"/>
      <c r="T86" s="315"/>
    </row>
    <row r="87" spans="1:20" s="147" customFormat="1" x14ac:dyDescent="0.25">
      <c r="A87" s="52" t="str">
        <f>IF(COUNTBLANK(B87)=1," ",COUNTA($B$12:B87))</f>
        <v xml:space="preserve"> </v>
      </c>
      <c r="B87" s="13"/>
      <c r="C87" s="382" t="s">
        <v>31</v>
      </c>
      <c r="D87" s="152"/>
      <c r="E87" s="152"/>
      <c r="F87" s="743"/>
      <c r="G87" s="87" t="s">
        <v>32</v>
      </c>
      <c r="H87" s="10">
        <f>ROUNDUP(H86*I87,0)</f>
        <v>3</v>
      </c>
      <c r="I87" s="274">
        <v>0.14285714285714299</v>
      </c>
      <c r="J87" s="212"/>
      <c r="K87" s="212"/>
      <c r="L87" s="639"/>
      <c r="M87" s="640"/>
      <c r="N87" s="212"/>
      <c r="O87" s="314"/>
      <c r="P87" s="315"/>
      <c r="Q87" s="315"/>
      <c r="R87" s="315"/>
      <c r="S87" s="315"/>
      <c r="T87" s="315"/>
    </row>
    <row r="88" spans="1:20" s="147" customFormat="1" x14ac:dyDescent="0.25">
      <c r="A88" s="744"/>
      <c r="B88" s="224"/>
      <c r="C88" s="151"/>
      <c r="D88" s="19"/>
      <c r="E88" s="19"/>
      <c r="F88" s="19"/>
      <c r="G88" s="19"/>
      <c r="H88" s="225"/>
      <c r="I88" s="226"/>
      <c r="J88" s="227"/>
      <c r="K88" s="228"/>
      <c r="L88" s="227"/>
      <c r="M88" s="227"/>
      <c r="N88" s="227"/>
      <c r="O88" s="38"/>
      <c r="P88" s="38"/>
      <c r="Q88" s="38"/>
      <c r="R88" s="38"/>
      <c r="S88" s="38"/>
      <c r="T88" s="38"/>
    </row>
    <row r="89" spans="1:20" ht="22.5" x14ac:dyDescent="0.25">
      <c r="A89" s="744"/>
      <c r="B89" s="37"/>
      <c r="C89" s="217" t="s">
        <v>179</v>
      </c>
      <c r="D89" s="23"/>
      <c r="E89" s="23"/>
      <c r="F89" s="23"/>
      <c r="G89" s="17"/>
      <c r="H89" s="162"/>
      <c r="I89" s="162"/>
      <c r="J89" s="17"/>
      <c r="K89" s="17"/>
      <c r="L89" s="17"/>
      <c r="M89" s="17"/>
      <c r="N89" s="17"/>
      <c r="O89" s="17"/>
      <c r="P89" s="20">
        <f>SUM(P12:P87)</f>
        <v>0</v>
      </c>
      <c r="Q89" s="20">
        <f>SUM(Q12:Q87)</f>
        <v>0</v>
      </c>
      <c r="R89" s="20">
        <f>SUM(R12:R87)</f>
        <v>0</v>
      </c>
      <c r="S89" s="20">
        <f>SUM(S12:S87)</f>
        <v>0</v>
      </c>
      <c r="T89" s="20">
        <f>SUM(T12:T87)</f>
        <v>0</v>
      </c>
    </row>
    <row r="90" spans="1:20" x14ac:dyDescent="0.25">
      <c r="A90" s="738"/>
      <c r="B90" s="45"/>
      <c r="C90" s="50"/>
      <c r="D90" s="37"/>
      <c r="E90" s="37"/>
      <c r="F90" s="37"/>
      <c r="G90" s="45"/>
      <c r="H90" s="45"/>
      <c r="I90" s="45"/>
      <c r="K90" s="45"/>
      <c r="L90" s="45"/>
      <c r="M90" s="45"/>
      <c r="N90" s="45"/>
      <c r="O90" s="45"/>
      <c r="P90" s="45"/>
      <c r="Q90" s="45"/>
      <c r="R90" s="45"/>
      <c r="S90" s="45"/>
      <c r="T90" s="45"/>
    </row>
    <row r="91" spans="1:20" x14ac:dyDescent="0.25">
      <c r="A91" s="738"/>
      <c r="B91" s="140" t="str">
        <f>sas</f>
        <v>Sastādīja:</v>
      </c>
      <c r="C91" s="140"/>
      <c r="D91" s="144"/>
      <c r="E91" s="144"/>
      <c r="F91" s="144"/>
      <c r="G91" s="94"/>
      <c r="H91" s="94"/>
      <c r="I91" s="94"/>
      <c r="K91" s="45"/>
      <c r="L91" s="45"/>
      <c r="M91" s="45"/>
      <c r="N91" s="45"/>
      <c r="O91" s="45"/>
      <c r="P91" s="45"/>
      <c r="Q91" s="45"/>
      <c r="R91" s="45"/>
      <c r="S91" s="45"/>
      <c r="T91" s="45"/>
    </row>
    <row r="92" spans="1:20" x14ac:dyDescent="0.25">
      <c r="A92" s="738"/>
      <c r="B92" s="140"/>
      <c r="C92" s="358" t="s">
        <v>145</v>
      </c>
      <c r="D92" s="723"/>
      <c r="E92" s="723"/>
      <c r="F92" s="723"/>
      <c r="G92" s="140"/>
      <c r="H92" s="140"/>
      <c r="I92" s="94"/>
      <c r="K92" s="45"/>
      <c r="L92" s="45"/>
      <c r="M92" s="45"/>
      <c r="N92" s="45"/>
      <c r="O92" s="45"/>
      <c r="P92" s="45"/>
      <c r="Q92" s="45"/>
      <c r="R92" s="45"/>
      <c r="S92" s="45"/>
      <c r="T92" s="45"/>
    </row>
    <row r="93" spans="1:20" x14ac:dyDescent="0.25">
      <c r="B93" s="161"/>
      <c r="C93" s="161"/>
      <c r="D93" s="161"/>
      <c r="E93" s="161"/>
      <c r="F93" s="161"/>
      <c r="G93" s="140"/>
      <c r="H93" s="140"/>
      <c r="I93" s="94"/>
    </row>
    <row r="94" spans="1:20" x14ac:dyDescent="0.25">
      <c r="B94" s="140" t="str">
        <f>dat</f>
        <v>Tāme sastādīta 201__. gada __.____________</v>
      </c>
      <c r="C94" s="140"/>
      <c r="D94" s="144"/>
      <c r="E94" s="144"/>
      <c r="F94" s="144"/>
      <c r="G94" s="140"/>
      <c r="H94" s="140"/>
      <c r="I94" s="94"/>
    </row>
    <row r="95" spans="1:20" x14ac:dyDescent="0.25">
      <c r="B95" s="161"/>
      <c r="C95" s="161"/>
      <c r="D95" s="161"/>
      <c r="E95" s="161"/>
      <c r="F95" s="161"/>
      <c r="G95" s="140"/>
      <c r="H95" s="140"/>
      <c r="I95" s="94"/>
    </row>
    <row r="96" spans="1:20" x14ac:dyDescent="0.25">
      <c r="B96" s="140" t="s">
        <v>147</v>
      </c>
      <c r="C96" s="140"/>
      <c r="D96" s="144"/>
      <c r="E96" s="144"/>
      <c r="F96" s="144"/>
      <c r="I96" s="45"/>
    </row>
    <row r="97" spans="1:205" x14ac:dyDescent="0.25">
      <c r="B97" s="140"/>
      <c r="C97" s="358" t="s">
        <v>145</v>
      </c>
      <c r="D97" s="723"/>
      <c r="E97" s="723"/>
      <c r="F97" s="723"/>
      <c r="I97" s="45"/>
    </row>
    <row r="98" spans="1:205" s="45" customFormat="1" x14ac:dyDescent="0.25">
      <c r="A98" s="32"/>
      <c r="B98" s="161"/>
      <c r="C98" s="140" t="s">
        <v>148</v>
      </c>
      <c r="D98" s="144"/>
      <c r="E98" s="144"/>
      <c r="F98" s="144"/>
      <c r="G98" s="100"/>
      <c r="H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</row>
  </sheetData>
  <autoFilter ref="A11:IB87" xr:uid="{00000000-0009-0000-0000-000005000000}">
    <filterColumn colId="2" showButton="0"/>
    <filterColumn colId="3" showButton="0"/>
    <filterColumn colId="4" showButton="0"/>
  </autoFilter>
  <mergeCells count="9">
    <mergeCell ref="P9:T9"/>
    <mergeCell ref="C11:F11"/>
    <mergeCell ref="A1:J1"/>
    <mergeCell ref="A9:A10"/>
    <mergeCell ref="B9:B10"/>
    <mergeCell ref="C9:F10"/>
    <mergeCell ref="G9:G10"/>
    <mergeCell ref="H9:H10"/>
    <mergeCell ref="J9:O9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B66"/>
  <sheetViews>
    <sheetView view="pageBreakPreview" topLeftCell="A10" zoomScale="85" zoomScaleNormal="85" zoomScaleSheetLayoutView="85" workbookViewId="0">
      <pane ySplit="2" topLeftCell="A24" activePane="bottomLeft" state="frozen"/>
      <selection activeCell="H37" sqref="H37"/>
      <selection pane="bottomLeft" activeCell="C24" sqref="C24"/>
    </sheetView>
  </sheetViews>
  <sheetFormatPr defaultColWidth="8.5703125" defaultRowHeight="11.25" x14ac:dyDescent="0.25"/>
  <cols>
    <col min="1" max="1" width="4.42578125" style="32" customWidth="1"/>
    <col min="2" max="2" width="4.7109375" style="100" customWidth="1"/>
    <col min="3" max="3" width="40.7109375" style="129" customWidth="1"/>
    <col min="4" max="4" width="7" style="100" customWidth="1"/>
    <col min="5" max="5" width="6.42578125" style="100" customWidth="1"/>
    <col min="6" max="6" width="5.42578125" style="100" customWidth="1"/>
    <col min="7" max="7" width="7" style="45" customWidth="1"/>
    <col min="8" max="9" width="6.5703125" style="100" customWidth="1"/>
    <col min="10" max="10" width="5.7109375" style="100" customWidth="1"/>
    <col min="11" max="11" width="5.5703125" style="100" customWidth="1"/>
    <col min="12" max="12" width="6.140625" style="100" customWidth="1"/>
    <col min="13" max="13" width="6.5703125" style="100" customWidth="1"/>
    <col min="14" max="14" width="7.7109375" style="100" customWidth="1"/>
    <col min="15" max="15" width="7.140625" style="100" customWidth="1"/>
    <col min="16" max="16" width="7.5703125" style="100" customWidth="1"/>
    <col min="17" max="17" width="8.42578125" style="100" customWidth="1"/>
    <col min="18" max="16384" width="8.5703125" style="100"/>
  </cols>
  <sheetData>
    <row r="1" spans="1:17" s="27" customFormat="1" ht="12" thickBot="1" x14ac:dyDescent="0.3">
      <c r="A1" s="837" t="s">
        <v>6</v>
      </c>
      <c r="B1" s="837"/>
      <c r="C1" s="837"/>
      <c r="D1" s="837"/>
      <c r="E1" s="837"/>
      <c r="F1" s="837"/>
      <c r="G1" s="838"/>
      <c r="H1" s="25">
        <f>KPDV!A17</f>
        <v>5</v>
      </c>
      <c r="I1" s="26"/>
      <c r="J1" s="26"/>
      <c r="K1" s="26"/>
      <c r="L1" s="26"/>
      <c r="M1" s="26"/>
    </row>
    <row r="2" spans="1:17" s="27" customFormat="1" x14ac:dyDescent="0.25">
      <c r="A2" s="267"/>
      <c r="B2" s="731"/>
      <c r="C2" s="30" t="s">
        <v>560</v>
      </c>
      <c r="D2" s="731"/>
      <c r="E2" s="731"/>
      <c r="F2" s="731"/>
      <c r="G2" s="741"/>
      <c r="H2" s="183"/>
      <c r="I2" s="26"/>
      <c r="J2" s="26"/>
      <c r="K2" s="26"/>
      <c r="L2" s="26"/>
      <c r="M2" s="26"/>
    </row>
    <row r="3" spans="1:17" s="140" customFormat="1" x14ac:dyDescent="0.25">
      <c r="A3" s="190" t="str">
        <f>nos</f>
        <v>Būves nosaukums:  Dzīvojamās māja</v>
      </c>
      <c r="B3" s="4"/>
      <c r="C3" s="2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40" customFormat="1" x14ac:dyDescent="0.25">
      <c r="A4" s="168" t="str">
        <f>obj</f>
        <v>Objekta nosaukums: Dzīvojamās ēkas fasādes vienkāršota atjaunošana</v>
      </c>
      <c r="B4" s="4"/>
      <c r="C4" s="2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40" customFormat="1" x14ac:dyDescent="0.25">
      <c r="A5" s="168" t="str">
        <f>adres</f>
        <v>Objekta adrese: Aisteres iela 7, Liepājā</v>
      </c>
      <c r="B5" s="4"/>
      <c r="C5" s="2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140" customFormat="1" ht="12" thickBot="1" x14ac:dyDescent="0.3">
      <c r="A6" s="168" t="str">
        <f>nr</f>
        <v>Pasūtījuma Nr.WS-41-17</v>
      </c>
      <c r="B6" s="4"/>
      <c r="C6" s="2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140" customFormat="1" ht="23.25" thickBot="1" x14ac:dyDescent="0.3">
      <c r="A7" s="190"/>
      <c r="B7" s="7"/>
      <c r="C7" s="186" t="s">
        <v>695</v>
      </c>
      <c r="D7" s="162"/>
      <c r="E7" s="187" t="s">
        <v>142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 t="e">
        <f>#REF!</f>
        <v>#REF!</v>
      </c>
    </row>
    <row r="8" spans="1:17" s="27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31"/>
    </row>
    <row r="9" spans="1:17" s="32" customFormat="1" x14ac:dyDescent="0.25">
      <c r="A9" s="830" t="s">
        <v>7</v>
      </c>
      <c r="B9" s="831" t="s">
        <v>8</v>
      </c>
      <c r="C9" s="835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32" customFormat="1" x14ac:dyDescent="0.25">
      <c r="A10" s="830"/>
      <c r="B10" s="831"/>
      <c r="C10" s="835"/>
      <c r="D10" s="839"/>
      <c r="E10" s="831"/>
      <c r="F10" s="727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</row>
    <row r="11" spans="1:17" s="32" customFormat="1" ht="69" x14ac:dyDescent="0.25">
      <c r="A11" s="830"/>
      <c r="B11" s="831"/>
      <c r="C11" s="835"/>
      <c r="D11" s="839"/>
      <c r="E11" s="831"/>
      <c r="F11" s="727"/>
      <c r="G11" s="749" t="s">
        <v>135</v>
      </c>
      <c r="H11" s="749" t="s">
        <v>136</v>
      </c>
      <c r="I11" s="749" t="s">
        <v>137</v>
      </c>
      <c r="J11" s="749" t="s">
        <v>138</v>
      </c>
      <c r="K11" s="749" t="s">
        <v>139</v>
      </c>
      <c r="L11" s="749" t="s">
        <v>140</v>
      </c>
      <c r="M11" s="749" t="s">
        <v>141</v>
      </c>
      <c r="N11" s="749" t="s">
        <v>137</v>
      </c>
      <c r="O11" s="749" t="s">
        <v>138</v>
      </c>
      <c r="P11" s="749" t="s">
        <v>139</v>
      </c>
      <c r="Q11" s="749" t="s">
        <v>140</v>
      </c>
    </row>
    <row r="12" spans="1:17" s="32" customFormat="1" x14ac:dyDescent="0.25">
      <c r="A12" s="410">
        <v>1</v>
      </c>
      <c r="B12" s="33">
        <f>A12+1</f>
        <v>2</v>
      </c>
      <c r="C12" s="730">
        <v>3</v>
      </c>
      <c r="D12" s="33">
        <f>C12+1</f>
        <v>4</v>
      </c>
      <c r="E12" s="33">
        <f>D12+1</f>
        <v>5</v>
      </c>
      <c r="F12" s="145"/>
      <c r="G12" s="33">
        <f>E12+1</f>
        <v>6</v>
      </c>
      <c r="H12" s="33">
        <f t="shared" ref="H12:Q12" si="0">G12+1</f>
        <v>7</v>
      </c>
      <c r="I12" s="33">
        <f t="shared" si="0"/>
        <v>8</v>
      </c>
      <c r="J12" s="33">
        <f t="shared" si="0"/>
        <v>9</v>
      </c>
      <c r="K12" s="33">
        <f t="shared" si="0"/>
        <v>10</v>
      </c>
      <c r="L12" s="33">
        <f t="shared" si="0"/>
        <v>11</v>
      </c>
      <c r="M12" s="33">
        <f t="shared" si="0"/>
        <v>12</v>
      </c>
      <c r="N12" s="33">
        <f t="shared" si="0"/>
        <v>13</v>
      </c>
      <c r="O12" s="33">
        <f t="shared" si="0"/>
        <v>14</v>
      </c>
      <c r="P12" s="33">
        <f t="shared" si="0"/>
        <v>15</v>
      </c>
      <c r="Q12" s="340">
        <f t="shared" si="0"/>
        <v>16</v>
      </c>
    </row>
    <row r="13" spans="1:17" s="147" customFormat="1" x14ac:dyDescent="0.25">
      <c r="A13" s="52">
        <f>IF(COUNTBLANK(B13)=1," ",COUNTA($B$13:B13))</f>
        <v>1</v>
      </c>
      <c r="B13" s="13" t="s">
        <v>14</v>
      </c>
      <c r="C13" s="54" t="s">
        <v>53</v>
      </c>
      <c r="D13" s="57" t="s">
        <v>26</v>
      </c>
      <c r="E13" s="743">
        <f>122*0.15</f>
        <v>18.3</v>
      </c>
      <c r="F13" s="59"/>
      <c r="G13" s="209"/>
      <c r="H13" s="209"/>
      <c r="I13" s="209"/>
      <c r="J13" s="209"/>
      <c r="K13" s="209"/>
      <c r="L13" s="534"/>
      <c r="M13" s="534"/>
      <c r="N13" s="534"/>
      <c r="O13" s="534"/>
      <c r="P13" s="534"/>
      <c r="Q13" s="534"/>
    </row>
    <row r="14" spans="1:17" s="140" customFormat="1" x14ac:dyDescent="0.25">
      <c r="A14" s="52">
        <f>IF(COUNTBLANK(B14)=1," ",COUNTA($B$13:B14))</f>
        <v>2</v>
      </c>
      <c r="B14" s="13" t="s">
        <v>14</v>
      </c>
      <c r="C14" s="54" t="s">
        <v>33</v>
      </c>
      <c r="D14" s="743" t="s">
        <v>65</v>
      </c>
      <c r="E14" s="743">
        <f>apjom!U37*0.7</f>
        <v>147</v>
      </c>
      <c r="F14" s="742"/>
      <c r="G14" s="60"/>
      <c r="H14" s="271"/>
      <c r="I14" s="15"/>
      <c r="J14" s="15"/>
      <c r="K14" s="60"/>
      <c r="L14" s="534"/>
      <c r="M14" s="534"/>
      <c r="N14" s="534"/>
      <c r="O14" s="534"/>
      <c r="P14" s="534"/>
      <c r="Q14" s="534"/>
    </row>
    <row r="15" spans="1:17" s="140" customFormat="1" x14ac:dyDescent="0.25">
      <c r="A15" s="52">
        <f>IF(COUNTBLANK(B15)=1," ",COUNTA($B$13:B15))</f>
        <v>3</v>
      </c>
      <c r="B15" s="13" t="s">
        <v>14</v>
      </c>
      <c r="C15" s="14" t="s">
        <v>64</v>
      </c>
      <c r="D15" s="57" t="s">
        <v>26</v>
      </c>
      <c r="E15" s="743">
        <f>apjom!U37*1.2*1</f>
        <v>252</v>
      </c>
      <c r="F15" s="128"/>
      <c r="G15" s="34"/>
      <c r="H15" s="271"/>
      <c r="I15" s="34"/>
      <c r="J15" s="34"/>
      <c r="K15" s="34"/>
      <c r="L15" s="534"/>
      <c r="M15" s="534"/>
      <c r="N15" s="534"/>
      <c r="O15" s="534"/>
      <c r="P15" s="534"/>
      <c r="Q15" s="534"/>
    </row>
    <row r="16" spans="1:17" s="26" customFormat="1" ht="22.5" x14ac:dyDescent="0.25">
      <c r="A16" s="52">
        <f>IF(COUNTBLANK(B16)=1," ",COUNTA($B$13:B16))</f>
        <v>4</v>
      </c>
      <c r="B16" s="13" t="s">
        <v>14</v>
      </c>
      <c r="C16" s="54" t="s">
        <v>34</v>
      </c>
      <c r="D16" s="743" t="s">
        <v>65</v>
      </c>
      <c r="E16" s="53">
        <f>apjom!D84</f>
        <v>357</v>
      </c>
      <c r="F16" s="60"/>
      <c r="G16" s="211"/>
      <c r="H16" s="271"/>
      <c r="I16" s="212"/>
      <c r="J16" s="212"/>
      <c r="K16" s="211"/>
      <c r="L16" s="534"/>
      <c r="M16" s="534"/>
      <c r="N16" s="534"/>
      <c r="O16" s="534"/>
      <c r="P16" s="534"/>
      <c r="Q16" s="534"/>
    </row>
    <row r="17" spans="1:210" s="27" customFormat="1" x14ac:dyDescent="0.25">
      <c r="A17" s="52" t="str">
        <f>IF(COUNTBLANK(B17)=1," ",COUNTA($B$13:B17))</f>
        <v xml:space="preserve"> </v>
      </c>
      <c r="B17" s="135"/>
      <c r="C17" s="16" t="s">
        <v>28</v>
      </c>
      <c r="D17" s="135" t="s">
        <v>23</v>
      </c>
      <c r="E17" s="60">
        <f>E16*F17</f>
        <v>107.1</v>
      </c>
      <c r="F17" s="60">
        <v>0.3</v>
      </c>
      <c r="G17" s="211"/>
      <c r="H17" s="211"/>
      <c r="I17" s="211"/>
      <c r="J17" s="211"/>
      <c r="K17" s="211"/>
      <c r="L17" s="534"/>
      <c r="M17" s="534"/>
      <c r="N17" s="534"/>
      <c r="O17" s="534"/>
      <c r="P17" s="534"/>
      <c r="Q17" s="534"/>
    </row>
    <row r="18" spans="1:210" s="35" customFormat="1" ht="22.5" x14ac:dyDescent="0.25">
      <c r="A18" s="52">
        <f>IF(COUNTBLANK(B18)=1," ",COUNTA($B$13:B18))</f>
        <v>5</v>
      </c>
      <c r="B18" s="13" t="s">
        <v>14</v>
      </c>
      <c r="C18" s="14" t="s">
        <v>35</v>
      </c>
      <c r="D18" s="57" t="s">
        <v>17</v>
      </c>
      <c r="E18" s="85">
        <f>E16</f>
        <v>357</v>
      </c>
      <c r="F18" s="34"/>
      <c r="G18" s="209"/>
      <c r="H18" s="271"/>
      <c r="I18" s="209"/>
      <c r="J18" s="209"/>
      <c r="K18" s="209"/>
      <c r="L18" s="534"/>
      <c r="M18" s="534"/>
      <c r="N18" s="534"/>
      <c r="O18" s="534"/>
      <c r="P18" s="534"/>
      <c r="Q18" s="534"/>
    </row>
    <row r="19" spans="1:210" s="35" customFormat="1" x14ac:dyDescent="0.25">
      <c r="A19" s="52" t="str">
        <f>IF(COUNTBLANK(B19)=1," ",COUNTA($B$13:B19))</f>
        <v xml:space="preserve"> </v>
      </c>
      <c r="B19" s="57"/>
      <c r="C19" s="14" t="s">
        <v>36</v>
      </c>
      <c r="D19" s="34" t="s">
        <v>23</v>
      </c>
      <c r="E19" s="34">
        <f>E18*F19</f>
        <v>1071</v>
      </c>
      <c r="F19" s="34">
        <v>3</v>
      </c>
      <c r="G19" s="209"/>
      <c r="H19" s="209"/>
      <c r="I19" s="209"/>
      <c r="J19" s="209"/>
      <c r="K19" s="209"/>
      <c r="L19" s="534"/>
      <c r="M19" s="534"/>
      <c r="N19" s="534"/>
      <c r="O19" s="534"/>
      <c r="P19" s="534"/>
      <c r="Q19" s="534"/>
      <c r="R19" s="840"/>
      <c r="S19" s="840"/>
    </row>
    <row r="20" spans="1:210" s="36" customFormat="1" ht="45" x14ac:dyDescent="0.25">
      <c r="A20" s="52">
        <f>IF(COUNTBLANK(B20)=1," ",COUNTA($B$13:B20))</f>
        <v>6</v>
      </c>
      <c r="B20" s="13" t="s">
        <v>14</v>
      </c>
      <c r="C20" s="14" t="str">
        <f>apjom!B84</f>
        <v>Putupolistirola plāksne, (ekvivalents
Tenapors NEO EPS 100 λ=0,031 W/m²×K);   b=150mm 
Līmjava, Vertikālā hidroizolācija, Gruntējums
Esoša siena/ribotais panelis   b=350/140mm</v>
      </c>
      <c r="D20" s="57" t="s">
        <v>17</v>
      </c>
      <c r="E20" s="85">
        <f>E16</f>
        <v>357</v>
      </c>
      <c r="F20" s="57"/>
      <c r="G20" s="209"/>
      <c r="H20" s="271"/>
      <c r="I20" s="209"/>
      <c r="J20" s="508"/>
      <c r="K20" s="204"/>
      <c r="L20" s="534"/>
      <c r="M20" s="534"/>
      <c r="N20" s="534"/>
      <c r="O20" s="534"/>
      <c r="P20" s="534"/>
      <c r="Q20" s="534"/>
    </row>
    <row r="21" spans="1:210" s="732" customFormat="1" x14ac:dyDescent="0.25">
      <c r="A21" s="52" t="str">
        <f>IF(COUNTBLANK(B21)=1," ",COUNTA($B$13:B21))</f>
        <v xml:space="preserve"> </v>
      </c>
      <c r="B21" s="57"/>
      <c r="C21" s="14" t="s">
        <v>879</v>
      </c>
      <c r="D21" s="57" t="s">
        <v>17</v>
      </c>
      <c r="E21" s="34">
        <f>ROUNDUP(E20*F21,2)</f>
        <v>374.85</v>
      </c>
      <c r="F21" s="57">
        <v>1.05</v>
      </c>
      <c r="G21" s="204"/>
      <c r="H21" s="204"/>
      <c r="I21" s="204"/>
      <c r="J21" s="209"/>
      <c r="K21" s="209"/>
      <c r="L21" s="534"/>
      <c r="M21" s="534"/>
      <c r="N21" s="534"/>
      <c r="O21" s="534"/>
      <c r="P21" s="534"/>
      <c r="Q21" s="534"/>
    </row>
    <row r="22" spans="1:210" s="732" customFormat="1" x14ac:dyDescent="0.25">
      <c r="A22" s="52" t="str">
        <f>IF(COUNTBLANK(B22)=1," ",COUNTA($B$13:B22))</f>
        <v xml:space="preserve"> </v>
      </c>
      <c r="B22" s="288"/>
      <c r="C22" s="289" t="s">
        <v>170</v>
      </c>
      <c r="D22" s="268" t="s">
        <v>23</v>
      </c>
      <c r="E22" s="34">
        <f>ROUNDUP(E20*F22,2)</f>
        <v>107.1</v>
      </c>
      <c r="F22" s="291">
        <v>0.3</v>
      </c>
      <c r="G22" s="209"/>
      <c r="H22" s="209"/>
      <c r="I22" s="209"/>
      <c r="J22" s="209"/>
      <c r="K22" s="209"/>
      <c r="L22" s="534"/>
      <c r="M22" s="534"/>
      <c r="N22" s="534"/>
      <c r="O22" s="534"/>
      <c r="P22" s="534"/>
      <c r="Q22" s="534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</row>
    <row r="23" spans="1:210" s="732" customFormat="1" x14ac:dyDescent="0.25">
      <c r="A23" s="52" t="str">
        <f>IF(COUNTBLANK(B23)=1," ",COUNTA($B$13:B23))</f>
        <v xml:space="preserve"> </v>
      </c>
      <c r="B23" s="57"/>
      <c r="C23" s="14" t="s">
        <v>194</v>
      </c>
      <c r="D23" s="57" t="s">
        <v>23</v>
      </c>
      <c r="E23" s="34">
        <f>ROUNDUP(E20*F23,2)</f>
        <v>1785</v>
      </c>
      <c r="F23" s="34">
        <v>5</v>
      </c>
      <c r="G23" s="209"/>
      <c r="H23" s="209"/>
      <c r="I23" s="204"/>
      <c r="J23" s="209"/>
      <c r="K23" s="209"/>
      <c r="L23" s="534"/>
      <c r="M23" s="534"/>
      <c r="N23" s="534"/>
      <c r="O23" s="534"/>
      <c r="P23" s="534"/>
      <c r="Q23" s="534"/>
    </row>
    <row r="24" spans="1:210" s="732" customFormat="1" x14ac:dyDescent="0.25">
      <c r="A24" s="52" t="str">
        <f>IF(COUNTBLANK(B24)=1," ",COUNTA($B$13:B24))</f>
        <v xml:space="preserve"> </v>
      </c>
      <c r="B24" s="57"/>
      <c r="C24" s="14" t="s">
        <v>195</v>
      </c>
      <c r="D24" s="57" t="s">
        <v>201</v>
      </c>
      <c r="E24" s="34">
        <f>ROUNDUP(E20*F24,0)</f>
        <v>2142</v>
      </c>
      <c r="F24" s="34">
        <v>6</v>
      </c>
      <c r="G24" s="60"/>
      <c r="H24" s="60"/>
      <c r="I24" s="60"/>
      <c r="J24" s="60"/>
      <c r="K24" s="60"/>
      <c r="L24" s="534"/>
      <c r="M24" s="534"/>
      <c r="N24" s="534"/>
      <c r="O24" s="534"/>
      <c r="P24" s="534"/>
      <c r="Q24" s="534"/>
    </row>
    <row r="25" spans="1:210" s="147" customFormat="1" x14ac:dyDescent="0.25">
      <c r="A25" s="52">
        <f>IF(COUNTBLANK(B25)=1," ",COUNTA($B$13:B25))</f>
        <v>7</v>
      </c>
      <c r="B25" s="13" t="s">
        <v>14</v>
      </c>
      <c r="C25" s="14" t="s">
        <v>37</v>
      </c>
      <c r="D25" s="57" t="s">
        <v>26</v>
      </c>
      <c r="E25" s="85">
        <f>E15</f>
        <v>252</v>
      </c>
      <c r="F25" s="57"/>
      <c r="G25" s="60"/>
      <c r="H25" s="271"/>
      <c r="I25" s="60"/>
      <c r="J25" s="34"/>
      <c r="K25" s="34"/>
      <c r="L25" s="534"/>
      <c r="M25" s="534"/>
      <c r="N25" s="534"/>
      <c r="O25" s="534"/>
      <c r="P25" s="534"/>
      <c r="Q25" s="534"/>
    </row>
    <row r="26" spans="1:210" s="732" customFormat="1" ht="33.75" x14ac:dyDescent="0.25">
      <c r="A26" s="52">
        <f>IF(COUNTBLANK(B26)=1," ",COUNTA($B$13:B26))</f>
        <v>8</v>
      </c>
      <c r="B26" s="13" t="s">
        <v>14</v>
      </c>
      <c r="C26" s="14" t="s">
        <v>859</v>
      </c>
      <c r="D26" s="57" t="s">
        <v>17</v>
      </c>
      <c r="E26" s="85">
        <f>apjom!U37*0.7</f>
        <v>147</v>
      </c>
      <c r="F26" s="34"/>
      <c r="G26" s="211"/>
      <c r="H26" s="271"/>
      <c r="I26" s="212"/>
      <c r="J26" s="212"/>
      <c r="K26" s="211"/>
      <c r="L26" s="534"/>
      <c r="M26" s="534"/>
      <c r="N26" s="534"/>
      <c r="O26" s="534"/>
      <c r="P26" s="534"/>
      <c r="Q26" s="534"/>
    </row>
    <row r="27" spans="1:210" s="732" customFormat="1" x14ac:dyDescent="0.25">
      <c r="A27" s="52" t="str">
        <f>IF(COUNTBLANK(B27)=1," ",COUNTA($B$13:B27))</f>
        <v xml:space="preserve"> </v>
      </c>
      <c r="B27" s="292"/>
      <c r="C27" s="14" t="s">
        <v>196</v>
      </c>
      <c r="D27" s="294" t="s">
        <v>23</v>
      </c>
      <c r="E27" s="34">
        <f>ROUNDUP(E26*F27,2)</f>
        <v>735</v>
      </c>
      <c r="F27" s="270">
        <v>5</v>
      </c>
      <c r="G27" s="211"/>
      <c r="H27" s="211"/>
      <c r="I27" s="211"/>
      <c r="J27" s="211"/>
      <c r="K27" s="211"/>
      <c r="L27" s="534"/>
      <c r="M27" s="534"/>
      <c r="N27" s="534"/>
      <c r="O27" s="534"/>
      <c r="P27" s="534"/>
      <c r="Q27" s="534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</row>
    <row r="28" spans="1:210" s="732" customFormat="1" ht="14.25" x14ac:dyDescent="0.25">
      <c r="A28" s="52" t="str">
        <f>IF(COUNTBLANK(B28)=1," ",COUNTA($B$13:B28))</f>
        <v xml:space="preserve"> </v>
      </c>
      <c r="B28" s="292"/>
      <c r="C28" s="276" t="s">
        <v>715</v>
      </c>
      <c r="D28" s="463" t="s">
        <v>17</v>
      </c>
      <c r="E28" s="34">
        <f>ROUNDUP(E26*F28,2)</f>
        <v>323.39999999999998</v>
      </c>
      <c r="F28" s="270">
        <v>2.2000000000000002</v>
      </c>
      <c r="G28" s="211"/>
      <c r="H28" s="211"/>
      <c r="I28" s="211"/>
      <c r="J28" s="211"/>
      <c r="K28" s="211"/>
      <c r="L28" s="534"/>
      <c r="M28" s="534"/>
      <c r="N28" s="534"/>
      <c r="O28" s="534"/>
      <c r="P28" s="534"/>
      <c r="Q28" s="534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277"/>
      <c r="AV28" s="277"/>
      <c r="AW28" s="277"/>
      <c r="AX28" s="277"/>
      <c r="AY28" s="277"/>
      <c r="AZ28" s="277"/>
      <c r="BA28" s="277"/>
      <c r="BB28" s="277"/>
      <c r="BC28" s="277"/>
      <c r="BD28" s="277"/>
      <c r="BE28" s="277"/>
      <c r="BF28" s="277"/>
      <c r="BG28" s="277"/>
      <c r="BH28" s="277"/>
      <c r="BI28" s="277"/>
      <c r="BJ28" s="277"/>
      <c r="BK28" s="277"/>
      <c r="BL28" s="277"/>
      <c r="BM28" s="277"/>
      <c r="BN28" s="277"/>
      <c r="BO28" s="277"/>
      <c r="BP28" s="277"/>
      <c r="BQ28" s="277"/>
      <c r="BR28" s="277"/>
      <c r="BS28" s="277"/>
      <c r="BT28" s="277"/>
      <c r="BU28" s="277"/>
      <c r="BV28" s="277"/>
      <c r="BW28" s="277"/>
      <c r="BX28" s="277"/>
      <c r="BY28" s="277"/>
      <c r="BZ28" s="277"/>
      <c r="CA28" s="277"/>
      <c r="CB28" s="277"/>
      <c r="CC28" s="277"/>
      <c r="CD28" s="277"/>
      <c r="CE28" s="277"/>
      <c r="CF28" s="277"/>
      <c r="CG28" s="277"/>
      <c r="CH28" s="277"/>
      <c r="CI28" s="277"/>
      <c r="CJ28" s="277"/>
      <c r="CK28" s="277"/>
      <c r="CL28" s="277"/>
      <c r="CM28" s="277"/>
      <c r="CN28" s="277"/>
      <c r="CO28" s="277"/>
      <c r="CP28" s="277"/>
      <c r="CQ28" s="277"/>
      <c r="CR28" s="277"/>
      <c r="CS28" s="277"/>
      <c r="CT28" s="277"/>
      <c r="CU28" s="277"/>
      <c r="CV28" s="277"/>
      <c r="CW28" s="277"/>
      <c r="CX28" s="277"/>
      <c r="CY28" s="277"/>
      <c r="CZ28" s="277"/>
      <c r="DA28" s="277"/>
      <c r="DB28" s="277"/>
      <c r="DC28" s="277"/>
      <c r="DD28" s="277"/>
      <c r="DE28" s="277"/>
      <c r="DF28" s="277"/>
      <c r="DG28" s="277"/>
      <c r="DH28" s="277"/>
      <c r="DI28" s="277"/>
      <c r="DJ28" s="277"/>
      <c r="DK28" s="277"/>
      <c r="DL28" s="277"/>
      <c r="DM28" s="277"/>
      <c r="DN28" s="277"/>
      <c r="DO28" s="277"/>
      <c r="DP28" s="277"/>
      <c r="DQ28" s="277"/>
      <c r="DR28" s="277"/>
      <c r="DS28" s="277"/>
      <c r="DT28" s="277"/>
      <c r="DU28" s="277"/>
      <c r="DV28" s="277"/>
      <c r="DW28" s="277"/>
      <c r="DX28" s="277"/>
      <c r="DY28" s="277"/>
      <c r="DZ28" s="277"/>
      <c r="EA28" s="277"/>
      <c r="EB28" s="277"/>
      <c r="EC28" s="277"/>
      <c r="ED28" s="277"/>
      <c r="EE28" s="277"/>
      <c r="EF28" s="277"/>
      <c r="EG28" s="277"/>
      <c r="EH28" s="277"/>
      <c r="EI28" s="277"/>
      <c r="EJ28" s="277"/>
      <c r="EK28" s="277"/>
      <c r="EL28" s="277"/>
      <c r="EM28" s="277"/>
      <c r="EN28" s="277"/>
      <c r="EO28" s="277"/>
      <c r="EP28" s="277"/>
      <c r="EQ28" s="277"/>
      <c r="ER28" s="277"/>
      <c r="ES28" s="277"/>
      <c r="ET28" s="277"/>
      <c r="EU28" s="277"/>
      <c r="EV28" s="277"/>
      <c r="EW28" s="277"/>
      <c r="EX28" s="277"/>
      <c r="EY28" s="277"/>
      <c r="EZ28" s="277"/>
      <c r="FA28" s="277"/>
      <c r="FB28" s="277"/>
      <c r="FC28" s="277"/>
      <c r="FD28" s="277"/>
      <c r="FE28" s="277"/>
      <c r="FF28" s="277"/>
      <c r="FG28" s="277"/>
      <c r="FH28" s="277"/>
      <c r="FI28" s="277"/>
      <c r="FJ28" s="277"/>
      <c r="FK28" s="277"/>
      <c r="FL28" s="277"/>
      <c r="FM28" s="277"/>
      <c r="FN28" s="277"/>
      <c r="FO28" s="277"/>
      <c r="FP28" s="277"/>
      <c r="FQ28" s="277"/>
      <c r="FR28" s="277"/>
      <c r="FS28" s="277"/>
      <c r="FT28" s="277"/>
      <c r="FU28" s="277"/>
      <c r="FV28" s="277"/>
      <c r="FW28" s="277"/>
      <c r="FX28" s="277"/>
      <c r="FY28" s="277"/>
      <c r="FZ28" s="277"/>
      <c r="GA28" s="277"/>
      <c r="GB28" s="277"/>
      <c r="GC28" s="277"/>
      <c r="GD28" s="277"/>
      <c r="GE28" s="277"/>
      <c r="GF28" s="277"/>
      <c r="GG28" s="277"/>
      <c r="GH28" s="277"/>
      <c r="GI28" s="277"/>
      <c r="GJ28" s="277"/>
      <c r="GK28" s="277"/>
      <c r="GL28" s="277"/>
      <c r="GM28" s="277"/>
      <c r="GN28" s="277"/>
      <c r="GO28" s="277"/>
      <c r="GP28" s="277"/>
      <c r="GQ28" s="277"/>
      <c r="GR28" s="277"/>
      <c r="GS28" s="277"/>
      <c r="GT28" s="277"/>
      <c r="GU28" s="277"/>
      <c r="GV28" s="277"/>
      <c r="GW28" s="277"/>
      <c r="GX28" s="277"/>
      <c r="GY28" s="277"/>
      <c r="GZ28" s="277"/>
      <c r="HA28" s="277"/>
      <c r="HB28" s="277"/>
    </row>
    <row r="29" spans="1:210" s="732" customFormat="1" x14ac:dyDescent="0.25">
      <c r="A29" s="52" t="str">
        <f>IF(COUNTBLANK(B29)=1," ",COUNTA($B$13:B29))</f>
        <v xml:space="preserve"> </v>
      </c>
      <c r="B29" s="294"/>
      <c r="C29" s="276" t="s">
        <v>175</v>
      </c>
      <c r="D29" s="294" t="s">
        <v>23</v>
      </c>
      <c r="E29" s="34">
        <f>ROUNDUP(E26*F29,2)</f>
        <v>735</v>
      </c>
      <c r="F29" s="270">
        <v>5</v>
      </c>
      <c r="G29" s="211"/>
      <c r="H29" s="211"/>
      <c r="I29" s="211"/>
      <c r="J29" s="211"/>
      <c r="K29" s="211"/>
      <c r="L29" s="534"/>
      <c r="M29" s="534"/>
      <c r="N29" s="534"/>
      <c r="O29" s="534"/>
      <c r="P29" s="534"/>
      <c r="Q29" s="534"/>
    </row>
    <row r="30" spans="1:210" s="732" customFormat="1" ht="14.25" x14ac:dyDescent="0.25">
      <c r="A30" s="52" t="str">
        <f>IF(COUNTBLANK(B30)=1," ",COUNTA($B$13:B30))</f>
        <v xml:space="preserve"> </v>
      </c>
      <c r="B30" s="294"/>
      <c r="C30" s="276" t="s">
        <v>174</v>
      </c>
      <c r="D30" s="294" t="s">
        <v>23</v>
      </c>
      <c r="E30" s="34">
        <f>ROUNDUP(E26*F30,2)</f>
        <v>44.1</v>
      </c>
      <c r="F30" s="270">
        <v>0.3</v>
      </c>
      <c r="G30" s="211"/>
      <c r="H30" s="211"/>
      <c r="I30" s="211"/>
      <c r="J30" s="211"/>
      <c r="K30" s="211"/>
      <c r="L30" s="534"/>
      <c r="M30" s="534"/>
      <c r="N30" s="534"/>
      <c r="O30" s="534"/>
      <c r="P30" s="534"/>
      <c r="Q30" s="534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7"/>
      <c r="BM30" s="277"/>
      <c r="BN30" s="277"/>
      <c r="BO30" s="277"/>
      <c r="BP30" s="277"/>
      <c r="BQ30" s="277"/>
      <c r="BR30" s="277"/>
      <c r="BS30" s="277"/>
      <c r="BT30" s="277"/>
      <c r="BU30" s="277"/>
      <c r="BV30" s="277"/>
      <c r="BW30" s="277"/>
      <c r="BX30" s="277"/>
      <c r="BY30" s="277"/>
      <c r="BZ30" s="277"/>
      <c r="CA30" s="277"/>
      <c r="CB30" s="277"/>
      <c r="CC30" s="277"/>
      <c r="CD30" s="277"/>
      <c r="CE30" s="277"/>
      <c r="CF30" s="277"/>
      <c r="CG30" s="277"/>
      <c r="CH30" s="277"/>
      <c r="CI30" s="277"/>
      <c r="CJ30" s="277"/>
      <c r="CK30" s="277"/>
      <c r="CL30" s="277"/>
      <c r="CM30" s="277"/>
      <c r="CN30" s="277"/>
      <c r="CO30" s="277"/>
      <c r="CP30" s="277"/>
      <c r="CQ30" s="277"/>
      <c r="CR30" s="277"/>
      <c r="CS30" s="277"/>
      <c r="CT30" s="277"/>
      <c r="CU30" s="277"/>
      <c r="CV30" s="277"/>
      <c r="CW30" s="277"/>
      <c r="CX30" s="277"/>
      <c r="CY30" s="277"/>
      <c r="CZ30" s="277"/>
      <c r="DA30" s="277"/>
      <c r="DB30" s="277"/>
      <c r="DC30" s="277"/>
      <c r="DD30" s="277"/>
      <c r="DE30" s="277"/>
      <c r="DF30" s="277"/>
      <c r="DG30" s="277"/>
      <c r="DH30" s="277"/>
      <c r="DI30" s="277"/>
      <c r="DJ30" s="277"/>
      <c r="DK30" s="277"/>
      <c r="DL30" s="277"/>
      <c r="DM30" s="277"/>
      <c r="DN30" s="277"/>
      <c r="DO30" s="277"/>
      <c r="DP30" s="277"/>
      <c r="DQ30" s="277"/>
      <c r="DR30" s="277"/>
      <c r="DS30" s="277"/>
      <c r="DT30" s="277"/>
      <c r="DU30" s="277"/>
      <c r="DV30" s="277"/>
      <c r="DW30" s="277"/>
      <c r="DX30" s="277"/>
      <c r="DY30" s="277"/>
      <c r="DZ30" s="277"/>
      <c r="EA30" s="277"/>
      <c r="EB30" s="277"/>
      <c r="EC30" s="277"/>
      <c r="ED30" s="277"/>
      <c r="EE30" s="277"/>
      <c r="EF30" s="277"/>
      <c r="EG30" s="277"/>
      <c r="EH30" s="277"/>
      <c r="EI30" s="277"/>
      <c r="EJ30" s="277"/>
      <c r="EK30" s="277"/>
      <c r="EL30" s="277"/>
      <c r="EM30" s="277"/>
      <c r="EN30" s="277"/>
      <c r="EO30" s="277"/>
      <c r="EP30" s="277"/>
      <c r="EQ30" s="277"/>
      <c r="ER30" s="277"/>
      <c r="ES30" s="277"/>
      <c r="ET30" s="277"/>
      <c r="EU30" s="277"/>
      <c r="EV30" s="277"/>
      <c r="EW30" s="277"/>
      <c r="EX30" s="277"/>
      <c r="EY30" s="277"/>
      <c r="EZ30" s="277"/>
      <c r="FA30" s="277"/>
      <c r="FB30" s="277"/>
      <c r="FC30" s="277"/>
      <c r="FD30" s="277"/>
      <c r="FE30" s="277"/>
      <c r="FF30" s="277"/>
      <c r="FG30" s="277"/>
      <c r="FH30" s="277"/>
      <c r="FI30" s="277"/>
      <c r="FJ30" s="277"/>
      <c r="FK30" s="277"/>
      <c r="FL30" s="277"/>
      <c r="FM30" s="277"/>
      <c r="FN30" s="277"/>
      <c r="FO30" s="277"/>
      <c r="FP30" s="277"/>
      <c r="FQ30" s="277"/>
      <c r="FR30" s="277"/>
      <c r="FS30" s="277"/>
      <c r="FT30" s="277"/>
      <c r="FU30" s="277"/>
      <c r="FV30" s="277"/>
      <c r="FW30" s="277"/>
      <c r="FX30" s="277"/>
      <c r="FY30" s="277"/>
      <c r="FZ30" s="277"/>
      <c r="GA30" s="277"/>
      <c r="GB30" s="277"/>
      <c r="GC30" s="277"/>
      <c r="GD30" s="277"/>
      <c r="GE30" s="277"/>
      <c r="GF30" s="277"/>
      <c r="GG30" s="277"/>
      <c r="GH30" s="277"/>
      <c r="GI30" s="277"/>
      <c r="GJ30" s="277"/>
      <c r="GK30" s="277"/>
      <c r="GL30" s="277"/>
      <c r="GM30" s="277"/>
      <c r="GN30" s="277"/>
      <c r="GO30" s="277"/>
      <c r="GP30" s="277"/>
      <c r="GQ30" s="277"/>
      <c r="GR30" s="277"/>
      <c r="GS30" s="277"/>
      <c r="GT30" s="277"/>
      <c r="GU30" s="277"/>
      <c r="GV30" s="277"/>
      <c r="GW30" s="277"/>
      <c r="GX30" s="277"/>
      <c r="GY30" s="277"/>
      <c r="GZ30" s="277"/>
      <c r="HA30" s="277"/>
      <c r="HB30" s="277"/>
    </row>
    <row r="31" spans="1:210" s="732" customFormat="1" x14ac:dyDescent="0.25">
      <c r="A31" s="52" t="str">
        <f>IF(COUNTBLANK(B31)=1," ",COUNTA($B$13:B31))</f>
        <v xml:space="preserve"> </v>
      </c>
      <c r="B31" s="294"/>
      <c r="C31" s="14" t="s">
        <v>39</v>
      </c>
      <c r="D31" s="57" t="s">
        <v>23</v>
      </c>
      <c r="E31" s="34">
        <f>ROUNDUP(E26*F31,2)</f>
        <v>88.2</v>
      </c>
      <c r="F31" s="34">
        <v>0.6</v>
      </c>
      <c r="G31" s="211"/>
      <c r="H31" s="211"/>
      <c r="I31" s="211"/>
      <c r="J31" s="211"/>
      <c r="K31" s="211"/>
      <c r="L31" s="534"/>
      <c r="M31" s="534"/>
      <c r="N31" s="534"/>
      <c r="O31" s="534"/>
      <c r="P31" s="534"/>
      <c r="Q31" s="534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</row>
    <row r="32" spans="1:210" s="732" customFormat="1" x14ac:dyDescent="0.25">
      <c r="A32" s="52" t="str">
        <f>IF(COUNTBLANK(B32)=1," ",COUNTA($B$13:B32))</f>
        <v xml:space="preserve"> </v>
      </c>
      <c r="B32" s="294"/>
      <c r="C32" s="283" t="s">
        <v>38</v>
      </c>
      <c r="D32" s="294" t="s">
        <v>211</v>
      </c>
      <c r="E32" s="34">
        <f>ROUNDUP(E26*F32,0)</f>
        <v>14</v>
      </c>
      <c r="F32" s="270">
        <v>0.09</v>
      </c>
      <c r="G32" s="60"/>
      <c r="H32" s="60"/>
      <c r="I32" s="60"/>
      <c r="J32" s="60"/>
      <c r="K32" s="60"/>
      <c r="L32" s="534"/>
      <c r="M32" s="534"/>
      <c r="N32" s="534"/>
      <c r="O32" s="534"/>
      <c r="P32" s="534"/>
      <c r="Q32" s="534"/>
    </row>
    <row r="33" spans="1:203" s="36" customFormat="1" ht="22.5" x14ac:dyDescent="0.25">
      <c r="A33" s="52" t="str">
        <f>IF(COUNTBLANK(B33)=1," ",COUNTA($B$13:B33))</f>
        <v xml:space="preserve"> </v>
      </c>
      <c r="B33" s="135"/>
      <c r="C33" s="464" t="s">
        <v>40</v>
      </c>
      <c r="D33" s="464"/>
      <c r="E33" s="464"/>
      <c r="F33" s="135"/>
      <c r="G33" s="135"/>
      <c r="H33" s="60"/>
      <c r="I33" s="135"/>
      <c r="J33" s="135"/>
      <c r="K33" s="135"/>
      <c r="L33" s="534"/>
      <c r="M33" s="534"/>
      <c r="N33" s="534"/>
      <c r="O33" s="534"/>
      <c r="P33" s="534"/>
      <c r="Q33" s="534"/>
    </row>
    <row r="34" spans="1:203" s="732" customFormat="1" x14ac:dyDescent="0.25">
      <c r="A34" s="52">
        <f>IF(COUNTBLANK(B34)=1," ",COUNTA($B$13:B34))</f>
        <v>9</v>
      </c>
      <c r="B34" s="288" t="s">
        <v>14</v>
      </c>
      <c r="C34" s="297" t="s">
        <v>219</v>
      </c>
      <c r="D34" s="295" t="s">
        <v>17</v>
      </c>
      <c r="E34" s="296">
        <v>152</v>
      </c>
      <c r="F34" s="299"/>
      <c r="G34" s="34"/>
      <c r="H34" s="271"/>
      <c r="I34" s="34"/>
      <c r="J34" s="444"/>
      <c r="K34" s="34"/>
      <c r="L34" s="534"/>
      <c r="M34" s="534"/>
      <c r="N34" s="534"/>
      <c r="O34" s="534"/>
      <c r="P34" s="534"/>
      <c r="Q34" s="534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</row>
    <row r="35" spans="1:203" s="732" customFormat="1" x14ac:dyDescent="0.25">
      <c r="A35" s="52">
        <f>IF(COUNTBLANK(B35)=1," ",COUNTA($B$13:B35))</f>
        <v>10</v>
      </c>
      <c r="B35" s="288" t="s">
        <v>14</v>
      </c>
      <c r="C35" s="297" t="s">
        <v>220</v>
      </c>
      <c r="D35" s="295" t="s">
        <v>17</v>
      </c>
      <c r="E35" s="296">
        <f>E34</f>
        <v>152</v>
      </c>
      <c r="F35" s="299"/>
      <c r="G35" s="509"/>
      <c r="H35" s="271"/>
      <c r="I35" s="509"/>
      <c r="J35" s="510"/>
      <c r="K35" s="509"/>
      <c r="L35" s="534"/>
      <c r="M35" s="534"/>
      <c r="N35" s="534"/>
      <c r="O35" s="534"/>
      <c r="P35" s="534"/>
      <c r="Q35" s="534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249"/>
      <c r="FP35" s="249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  <c r="GD35" s="249"/>
      <c r="GE35" s="249"/>
      <c r="GF35" s="249"/>
      <c r="GG35" s="249"/>
      <c r="GH35" s="249"/>
      <c r="GI35" s="249"/>
      <c r="GJ35" s="249"/>
      <c r="GK35" s="249"/>
      <c r="GL35" s="249"/>
      <c r="GM35" s="249"/>
      <c r="GN35" s="249"/>
      <c r="GO35" s="249"/>
      <c r="GP35" s="249"/>
      <c r="GQ35" s="249"/>
      <c r="GR35" s="249"/>
      <c r="GS35" s="249"/>
      <c r="GT35" s="249"/>
      <c r="GU35" s="249"/>
    </row>
    <row r="36" spans="1:203" s="732" customFormat="1" x14ac:dyDescent="0.25">
      <c r="A36" s="52" t="str">
        <f>IF(COUNTBLANK(B36)=1," ",COUNTA($B$13:B36))</f>
        <v xml:space="preserve"> </v>
      </c>
      <c r="B36" s="300"/>
      <c r="C36" s="601" t="s">
        <v>221</v>
      </c>
      <c r="D36" s="290" t="s">
        <v>26</v>
      </c>
      <c r="E36" s="290">
        <f>E35*F36</f>
        <v>16.72</v>
      </c>
      <c r="F36" s="290">
        <v>0.11</v>
      </c>
      <c r="G36" s="509"/>
      <c r="H36" s="509"/>
      <c r="I36" s="509"/>
      <c r="J36" s="511"/>
      <c r="K36" s="509"/>
      <c r="L36" s="534"/>
      <c r="M36" s="534"/>
      <c r="N36" s="534"/>
      <c r="O36" s="534"/>
      <c r="P36" s="534"/>
      <c r="Q36" s="534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</row>
    <row r="37" spans="1:203" s="732" customFormat="1" x14ac:dyDescent="0.25">
      <c r="A37" s="52">
        <f>IF(COUNTBLANK(B37)=1," ",COUNTA($B$13:B37))</f>
        <v>11</v>
      </c>
      <c r="B37" s="288" t="s">
        <v>14</v>
      </c>
      <c r="C37" s="600" t="s">
        <v>222</v>
      </c>
      <c r="D37" s="295" t="s">
        <v>17</v>
      </c>
      <c r="E37" s="296">
        <f>E35</f>
        <v>152</v>
      </c>
      <c r="F37" s="299"/>
      <c r="G37" s="509"/>
      <c r="H37" s="271"/>
      <c r="I37" s="509"/>
      <c r="J37" s="510"/>
      <c r="K37" s="509"/>
      <c r="L37" s="534"/>
      <c r="M37" s="534"/>
      <c r="N37" s="534"/>
      <c r="O37" s="534"/>
      <c r="P37" s="534"/>
      <c r="Q37" s="534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</row>
    <row r="38" spans="1:203" s="732" customFormat="1" x14ac:dyDescent="0.25">
      <c r="A38" s="52" t="str">
        <f>IF(COUNTBLANK(B38)=1," ",COUNTA($B$13:B38))</f>
        <v xml:space="preserve"> </v>
      </c>
      <c r="B38" s="300"/>
      <c r="C38" s="601" t="s">
        <v>221</v>
      </c>
      <c r="D38" s="290" t="s">
        <v>26</v>
      </c>
      <c r="E38" s="290">
        <f>E37*F38</f>
        <v>7.6000000000000005</v>
      </c>
      <c r="F38" s="290">
        <v>0.05</v>
      </c>
      <c r="G38" s="509"/>
      <c r="H38" s="509"/>
      <c r="I38" s="509"/>
      <c r="J38" s="511"/>
      <c r="K38" s="509"/>
      <c r="L38" s="534"/>
      <c r="M38" s="534"/>
      <c r="N38" s="534"/>
      <c r="O38" s="534"/>
      <c r="P38" s="534"/>
      <c r="Q38" s="534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49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49"/>
      <c r="DY38" s="249"/>
      <c r="DZ38" s="249"/>
      <c r="EA38" s="249"/>
      <c r="EB38" s="249"/>
      <c r="EC38" s="249"/>
      <c r="ED38" s="249"/>
      <c r="EE38" s="249"/>
      <c r="EF38" s="249"/>
      <c r="EG38" s="249"/>
      <c r="EH38" s="249"/>
      <c r="EI38" s="249"/>
      <c r="EJ38" s="249"/>
      <c r="EK38" s="249"/>
      <c r="EL38" s="249"/>
      <c r="EM38" s="249"/>
      <c r="EN38" s="249"/>
      <c r="EO38" s="249"/>
      <c r="EP38" s="249"/>
      <c r="EQ38" s="249"/>
      <c r="ER38" s="249"/>
      <c r="ES38" s="249"/>
      <c r="ET38" s="249"/>
      <c r="EU38" s="249"/>
      <c r="EV38" s="249"/>
      <c r="EW38" s="249"/>
      <c r="EX38" s="249"/>
      <c r="EY38" s="249"/>
      <c r="EZ38" s="249"/>
      <c r="FA38" s="249"/>
      <c r="FB38" s="249"/>
      <c r="FC38" s="249"/>
      <c r="FD38" s="249"/>
      <c r="FE38" s="249"/>
      <c r="FF38" s="249"/>
      <c r="FG38" s="249"/>
      <c r="FH38" s="249"/>
      <c r="FI38" s="249"/>
      <c r="FJ38" s="249"/>
      <c r="FK38" s="249"/>
      <c r="FL38" s="249"/>
      <c r="FM38" s="249"/>
      <c r="FN38" s="249"/>
      <c r="FO38" s="249"/>
      <c r="FP38" s="249"/>
      <c r="FQ38" s="249"/>
      <c r="FR38" s="249"/>
      <c r="FS38" s="249"/>
      <c r="FT38" s="249"/>
      <c r="FU38" s="249"/>
      <c r="FV38" s="249"/>
      <c r="FW38" s="249"/>
      <c r="FX38" s="249"/>
      <c r="FY38" s="249"/>
      <c r="FZ38" s="249"/>
      <c r="GA38" s="249"/>
      <c r="GB38" s="249"/>
      <c r="GC38" s="249"/>
      <c r="GD38" s="249"/>
      <c r="GE38" s="249"/>
      <c r="GF38" s="249"/>
      <c r="GG38" s="249"/>
      <c r="GH38" s="249"/>
      <c r="GI38" s="249"/>
      <c r="GJ38" s="249"/>
      <c r="GK38" s="249"/>
      <c r="GL38" s="249"/>
      <c r="GM38" s="249"/>
      <c r="GN38" s="249"/>
      <c r="GO38" s="249"/>
      <c r="GP38" s="249"/>
      <c r="GQ38" s="249"/>
      <c r="GR38" s="249"/>
      <c r="GS38" s="249"/>
      <c r="GT38" s="249"/>
      <c r="GU38" s="249"/>
    </row>
    <row r="39" spans="1:203" s="732" customFormat="1" x14ac:dyDescent="0.25">
      <c r="A39" s="52">
        <f>IF(COUNTBLANK(B39)=1," ",COUNTA($B$13:B39))</f>
        <v>12</v>
      </c>
      <c r="B39" s="288" t="s">
        <v>14</v>
      </c>
      <c r="C39" s="601" t="s">
        <v>223</v>
      </c>
      <c r="D39" s="295" t="s">
        <v>17</v>
      </c>
      <c r="E39" s="296">
        <f>E37</f>
        <v>152</v>
      </c>
      <c r="F39" s="299"/>
      <c r="G39" s="509"/>
      <c r="H39" s="271"/>
      <c r="I39" s="509"/>
      <c r="J39" s="510"/>
      <c r="K39" s="509"/>
      <c r="L39" s="534"/>
      <c r="M39" s="534"/>
      <c r="N39" s="534"/>
      <c r="O39" s="534"/>
      <c r="P39" s="534"/>
      <c r="Q39" s="534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49"/>
      <c r="CU39" s="249"/>
      <c r="CV39" s="24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49"/>
      <c r="DK39" s="249"/>
      <c r="DL39" s="249"/>
      <c r="DM39" s="249"/>
      <c r="DN39" s="249"/>
      <c r="DO39" s="249"/>
      <c r="DP39" s="249"/>
      <c r="DQ39" s="249"/>
      <c r="DR39" s="249"/>
      <c r="DS39" s="249"/>
      <c r="DT39" s="249"/>
      <c r="DU39" s="249"/>
      <c r="DV39" s="249"/>
      <c r="DW39" s="249"/>
      <c r="DX39" s="249"/>
      <c r="DY39" s="249"/>
      <c r="DZ39" s="249"/>
      <c r="EA39" s="249"/>
      <c r="EB39" s="249"/>
      <c r="EC39" s="249"/>
      <c r="ED39" s="249"/>
      <c r="EE39" s="249"/>
      <c r="EF39" s="249"/>
      <c r="EG39" s="249"/>
      <c r="EH39" s="249"/>
      <c r="EI39" s="249"/>
      <c r="EJ39" s="249"/>
      <c r="EK39" s="249"/>
      <c r="EL39" s="249"/>
      <c r="EM39" s="249"/>
      <c r="EN39" s="249"/>
      <c r="EO39" s="249"/>
      <c r="EP39" s="249"/>
      <c r="EQ39" s="249"/>
      <c r="ER39" s="249"/>
      <c r="ES39" s="249"/>
      <c r="ET39" s="249"/>
      <c r="EU39" s="249"/>
      <c r="EV39" s="249"/>
      <c r="EW39" s="249"/>
      <c r="EX39" s="249"/>
      <c r="EY39" s="249"/>
      <c r="EZ39" s="249"/>
      <c r="FA39" s="249"/>
      <c r="FB39" s="249"/>
      <c r="FC39" s="249"/>
      <c r="FD39" s="249"/>
      <c r="FE39" s="249"/>
      <c r="FF39" s="249"/>
      <c r="FG39" s="249"/>
      <c r="FH39" s="249"/>
      <c r="FI39" s="249"/>
      <c r="FJ39" s="249"/>
      <c r="FK39" s="249"/>
      <c r="FL39" s="249"/>
      <c r="FM39" s="249"/>
      <c r="FN39" s="249"/>
      <c r="FO39" s="249"/>
      <c r="FP39" s="249"/>
      <c r="FQ39" s="249"/>
      <c r="FR39" s="249"/>
      <c r="FS39" s="249"/>
      <c r="FT39" s="249"/>
      <c r="FU39" s="249"/>
      <c r="FV39" s="249"/>
      <c r="FW39" s="249"/>
      <c r="FX39" s="249"/>
      <c r="FY39" s="249"/>
      <c r="FZ39" s="249"/>
      <c r="GA39" s="249"/>
      <c r="GB39" s="249"/>
      <c r="GC39" s="249"/>
      <c r="GD39" s="249"/>
      <c r="GE39" s="249"/>
      <c r="GF39" s="249"/>
      <c r="GG39" s="249"/>
      <c r="GH39" s="249"/>
      <c r="GI39" s="249"/>
      <c r="GJ39" s="249"/>
      <c r="GK39" s="249"/>
      <c r="GL39" s="249"/>
      <c r="GM39" s="249"/>
      <c r="GN39" s="249"/>
      <c r="GO39" s="249"/>
      <c r="GP39" s="249"/>
      <c r="GQ39" s="249"/>
      <c r="GR39" s="249"/>
      <c r="GS39" s="249"/>
      <c r="GT39" s="249"/>
      <c r="GU39" s="249"/>
    </row>
    <row r="40" spans="1:203" s="732" customFormat="1" x14ac:dyDescent="0.25">
      <c r="A40" s="52" t="str">
        <f>IF(COUNTBLANK(B40)=1," ",COUNTA($B$13:B40))</f>
        <v xml:space="preserve"> </v>
      </c>
      <c r="B40" s="300"/>
      <c r="C40" s="297" t="s">
        <v>224</v>
      </c>
      <c r="D40" s="290" t="s">
        <v>26</v>
      </c>
      <c r="E40" s="290">
        <f>E39*F40</f>
        <v>7.6000000000000005</v>
      </c>
      <c r="F40" s="290">
        <v>0.05</v>
      </c>
      <c r="G40" s="509"/>
      <c r="H40" s="509"/>
      <c r="I40" s="509"/>
      <c r="J40" s="511"/>
      <c r="K40" s="509"/>
      <c r="L40" s="534"/>
      <c r="M40" s="534"/>
      <c r="N40" s="534"/>
      <c r="O40" s="534"/>
      <c r="P40" s="534"/>
      <c r="Q40" s="534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49"/>
      <c r="FG40" s="249"/>
      <c r="FH40" s="249"/>
      <c r="FI40" s="249"/>
      <c r="FJ40" s="249"/>
      <c r="FK40" s="249"/>
      <c r="FL40" s="249"/>
      <c r="FM40" s="249"/>
      <c r="FN40" s="249"/>
      <c r="FO40" s="249"/>
      <c r="FP40" s="249"/>
      <c r="FQ40" s="249"/>
      <c r="FR40" s="249"/>
      <c r="FS40" s="249"/>
      <c r="FT40" s="249"/>
      <c r="FU40" s="249"/>
      <c r="FV40" s="249"/>
      <c r="FW40" s="249"/>
      <c r="FX40" s="249"/>
      <c r="FY40" s="249"/>
      <c r="FZ40" s="249"/>
      <c r="GA40" s="249"/>
      <c r="GB40" s="249"/>
      <c r="GC40" s="249"/>
      <c r="GD40" s="249"/>
      <c r="GE40" s="249"/>
      <c r="GF40" s="249"/>
      <c r="GG40" s="249"/>
      <c r="GH40" s="249"/>
      <c r="GI40" s="249"/>
      <c r="GJ40" s="249"/>
      <c r="GK40" s="249"/>
      <c r="GL40" s="249"/>
      <c r="GM40" s="249"/>
      <c r="GN40" s="249"/>
      <c r="GO40" s="249"/>
      <c r="GP40" s="249"/>
      <c r="GQ40" s="249"/>
      <c r="GR40" s="249"/>
      <c r="GS40" s="249"/>
      <c r="GT40" s="249"/>
      <c r="GU40" s="249"/>
    </row>
    <row r="41" spans="1:203" s="732" customFormat="1" x14ac:dyDescent="0.25">
      <c r="A41" s="52">
        <f>IF(COUNTBLANK(B41)=1," ",COUNTA($B$13:B41))</f>
        <v>13</v>
      </c>
      <c r="B41" s="288" t="s">
        <v>14</v>
      </c>
      <c r="C41" s="601" t="s">
        <v>225</v>
      </c>
      <c r="D41" s="301" t="s">
        <v>17</v>
      </c>
      <c r="E41" s="296">
        <f>E39</f>
        <v>152</v>
      </c>
      <c r="F41" s="290"/>
      <c r="G41" s="34"/>
      <c r="H41" s="271"/>
      <c r="I41" s="10"/>
      <c r="J41" s="58"/>
      <c r="K41" s="509"/>
      <c r="L41" s="534"/>
      <c r="M41" s="534"/>
      <c r="N41" s="534"/>
      <c r="O41" s="534"/>
      <c r="P41" s="534"/>
      <c r="Q41" s="534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249"/>
      <c r="CI41" s="249"/>
      <c r="CJ41" s="249"/>
      <c r="CK41" s="249"/>
      <c r="CL41" s="249"/>
      <c r="CM41" s="249"/>
      <c r="CN41" s="249"/>
      <c r="CO41" s="249"/>
      <c r="CP41" s="249"/>
      <c r="CQ41" s="249"/>
      <c r="CR41" s="249"/>
      <c r="CS41" s="249"/>
      <c r="CT41" s="249"/>
      <c r="CU41" s="249"/>
      <c r="CV41" s="249"/>
      <c r="CW41" s="249"/>
      <c r="CX41" s="249"/>
      <c r="CY41" s="249"/>
      <c r="CZ41" s="249"/>
      <c r="DA41" s="249"/>
      <c r="DB41" s="249"/>
      <c r="DC41" s="249"/>
      <c r="DD41" s="249"/>
      <c r="DE41" s="249"/>
      <c r="DF41" s="249"/>
      <c r="DG41" s="249"/>
      <c r="DH41" s="249"/>
      <c r="DI41" s="249"/>
      <c r="DJ41" s="249"/>
      <c r="DK41" s="249"/>
      <c r="DL41" s="249"/>
      <c r="DM41" s="249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49"/>
      <c r="DY41" s="249"/>
      <c r="DZ41" s="249"/>
      <c r="EA41" s="249"/>
      <c r="EB41" s="249"/>
      <c r="EC41" s="249"/>
      <c r="ED41" s="249"/>
      <c r="EE41" s="249"/>
      <c r="EF41" s="249"/>
      <c r="EG41" s="249"/>
      <c r="EH41" s="249"/>
      <c r="EI41" s="249"/>
      <c r="EJ41" s="249"/>
      <c r="EK41" s="249"/>
      <c r="EL41" s="249"/>
      <c r="EM41" s="249"/>
      <c r="EN41" s="249"/>
      <c r="EO41" s="249"/>
      <c r="EP41" s="249"/>
      <c r="EQ41" s="249"/>
      <c r="ER41" s="249"/>
      <c r="ES41" s="249"/>
      <c r="ET41" s="249"/>
      <c r="EU41" s="249"/>
      <c r="EV41" s="249"/>
      <c r="EW41" s="249"/>
      <c r="EX41" s="249"/>
      <c r="EY41" s="249"/>
      <c r="EZ41" s="249"/>
      <c r="FA41" s="249"/>
      <c r="FB41" s="249"/>
      <c r="FC41" s="249"/>
      <c r="FD41" s="249"/>
      <c r="FE41" s="249"/>
      <c r="FF41" s="249"/>
      <c r="FG41" s="249"/>
      <c r="FH41" s="249"/>
      <c r="FI41" s="249"/>
      <c r="FJ41" s="249"/>
      <c r="FK41" s="249"/>
      <c r="FL41" s="249"/>
      <c r="FM41" s="249"/>
      <c r="FN41" s="249"/>
      <c r="FO41" s="249"/>
      <c r="FP41" s="249"/>
      <c r="FQ41" s="249"/>
      <c r="FR41" s="249"/>
      <c r="FS41" s="249"/>
      <c r="FT41" s="249"/>
      <c r="FU41" s="249"/>
      <c r="FV41" s="249"/>
      <c r="FW41" s="249"/>
      <c r="FX41" s="249"/>
      <c r="FY41" s="249"/>
      <c r="FZ41" s="249"/>
      <c r="GA41" s="249"/>
      <c r="GB41" s="249"/>
      <c r="GC41" s="249"/>
      <c r="GD41" s="249"/>
      <c r="GE41" s="249"/>
      <c r="GF41" s="249"/>
      <c r="GG41" s="249"/>
      <c r="GH41" s="249"/>
      <c r="GI41" s="249"/>
      <c r="GJ41" s="249"/>
      <c r="GK41" s="249"/>
      <c r="GL41" s="249"/>
      <c r="GM41" s="249"/>
      <c r="GN41" s="249"/>
      <c r="GO41" s="249"/>
      <c r="GP41" s="249"/>
      <c r="GQ41" s="249"/>
      <c r="GR41" s="249"/>
      <c r="GS41" s="249"/>
      <c r="GT41" s="249"/>
      <c r="GU41" s="249"/>
    </row>
    <row r="42" spans="1:203" s="732" customFormat="1" x14ac:dyDescent="0.25">
      <c r="A42" s="52" t="str">
        <f>IF(COUNTBLANK(B42)=1," ",COUNTA($B$13:B42))</f>
        <v xml:space="preserve"> </v>
      </c>
      <c r="B42" s="300"/>
      <c r="C42" s="297" t="s">
        <v>226</v>
      </c>
      <c r="D42" s="290" t="s">
        <v>17</v>
      </c>
      <c r="E42" s="290">
        <f>E41*F42</f>
        <v>159.6</v>
      </c>
      <c r="F42" s="290">
        <v>1.05</v>
      </c>
      <c r="G42" s="34"/>
      <c r="H42" s="10"/>
      <c r="I42" s="10"/>
      <c r="J42" s="10"/>
      <c r="K42" s="10"/>
      <c r="L42" s="534"/>
      <c r="M42" s="534"/>
      <c r="N42" s="534"/>
      <c r="O42" s="534"/>
      <c r="P42" s="534"/>
      <c r="Q42" s="534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49"/>
      <c r="BZ42" s="249"/>
      <c r="CA42" s="249"/>
      <c r="CB42" s="249"/>
      <c r="CC42" s="249"/>
      <c r="CD42" s="249"/>
      <c r="CE42" s="249"/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P42" s="249"/>
      <c r="CQ42" s="249"/>
      <c r="CR42" s="249"/>
      <c r="CS42" s="249"/>
      <c r="CT42" s="249"/>
      <c r="CU42" s="249"/>
      <c r="CV42" s="249"/>
      <c r="CW42" s="249"/>
      <c r="CX42" s="249"/>
      <c r="CY42" s="249"/>
      <c r="CZ42" s="249"/>
      <c r="DA42" s="249"/>
      <c r="DB42" s="249"/>
      <c r="DC42" s="249"/>
      <c r="DD42" s="249"/>
      <c r="DE42" s="249"/>
      <c r="DF42" s="249"/>
      <c r="DG42" s="249"/>
      <c r="DH42" s="249"/>
      <c r="DI42" s="249"/>
      <c r="DJ42" s="249"/>
      <c r="DK42" s="249"/>
      <c r="DL42" s="249"/>
      <c r="DM42" s="249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49"/>
      <c r="DY42" s="249"/>
      <c r="DZ42" s="249"/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M42" s="249"/>
      <c r="EN42" s="249"/>
      <c r="EO42" s="249"/>
      <c r="EP42" s="249"/>
      <c r="EQ42" s="249"/>
      <c r="ER42" s="249"/>
      <c r="ES42" s="249"/>
      <c r="ET42" s="249"/>
      <c r="EU42" s="249"/>
      <c r="EV42" s="249"/>
      <c r="EW42" s="249"/>
      <c r="EX42" s="249"/>
      <c r="EY42" s="249"/>
      <c r="EZ42" s="249"/>
      <c r="FA42" s="249"/>
      <c r="FB42" s="249"/>
      <c r="FC42" s="249"/>
      <c r="FD42" s="249"/>
      <c r="FE42" s="249"/>
      <c r="FF42" s="249"/>
      <c r="FG42" s="249"/>
      <c r="FH42" s="249"/>
      <c r="FI42" s="249"/>
      <c r="FJ42" s="249"/>
      <c r="FK42" s="249"/>
      <c r="FL42" s="249"/>
      <c r="FM42" s="249"/>
      <c r="FN42" s="249"/>
      <c r="FO42" s="249"/>
      <c r="FP42" s="249"/>
      <c r="FQ42" s="249"/>
      <c r="FR42" s="249"/>
      <c r="FS42" s="249"/>
      <c r="FT42" s="249"/>
      <c r="FU42" s="249"/>
      <c r="FV42" s="249"/>
      <c r="FW42" s="249"/>
      <c r="FX42" s="249"/>
      <c r="FY42" s="249"/>
      <c r="FZ42" s="249"/>
      <c r="GA42" s="249"/>
      <c r="GB42" s="249"/>
      <c r="GC42" s="249"/>
      <c r="GD42" s="249"/>
      <c r="GE42" s="249"/>
      <c r="GF42" s="249"/>
      <c r="GG42" s="249"/>
      <c r="GH42" s="249"/>
      <c r="GI42" s="249"/>
      <c r="GJ42" s="249"/>
      <c r="GK42" s="249"/>
      <c r="GL42" s="249"/>
      <c r="GM42" s="249"/>
      <c r="GN42" s="249"/>
      <c r="GO42" s="249"/>
      <c r="GP42" s="249"/>
      <c r="GQ42" s="249"/>
      <c r="GR42" s="249"/>
      <c r="GS42" s="249"/>
      <c r="GT42" s="249"/>
      <c r="GU42" s="249"/>
    </row>
    <row r="43" spans="1:203" s="732" customFormat="1" x14ac:dyDescent="0.25">
      <c r="A43" s="52" t="str">
        <f>IF(COUNTBLANK(B43)=1," ",COUNTA($B$13:B43))</f>
        <v xml:space="preserve"> </v>
      </c>
      <c r="B43" s="300"/>
      <c r="C43" s="297" t="s">
        <v>227</v>
      </c>
      <c r="D43" s="290" t="s">
        <v>26</v>
      </c>
      <c r="E43" s="291">
        <f>ROUND(E42*F43,2)</f>
        <v>4.79</v>
      </c>
      <c r="F43" s="290">
        <v>0.03</v>
      </c>
      <c r="G43" s="34"/>
      <c r="H43" s="10"/>
      <c r="I43" s="10"/>
      <c r="J43" s="10"/>
      <c r="K43" s="10"/>
      <c r="L43" s="534"/>
      <c r="M43" s="534"/>
      <c r="N43" s="534"/>
      <c r="O43" s="534"/>
      <c r="P43" s="534"/>
      <c r="Q43" s="534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49"/>
      <c r="BZ43" s="249"/>
      <c r="CA43" s="249"/>
      <c r="CB43" s="249"/>
      <c r="CC43" s="249"/>
      <c r="CD43" s="249"/>
      <c r="CE43" s="249"/>
      <c r="CF43" s="249"/>
      <c r="CG43" s="249"/>
      <c r="CH43" s="249"/>
      <c r="CI43" s="249"/>
      <c r="CJ43" s="249"/>
      <c r="CK43" s="249"/>
      <c r="CL43" s="249"/>
      <c r="CM43" s="249"/>
      <c r="CN43" s="249"/>
      <c r="CO43" s="249"/>
      <c r="CP43" s="249"/>
      <c r="CQ43" s="249"/>
      <c r="CR43" s="249"/>
      <c r="CS43" s="249"/>
      <c r="CT43" s="249"/>
      <c r="CU43" s="249"/>
      <c r="CV43" s="249"/>
      <c r="CW43" s="249"/>
      <c r="CX43" s="249"/>
      <c r="CY43" s="249"/>
      <c r="CZ43" s="249"/>
      <c r="DA43" s="249"/>
      <c r="DB43" s="249"/>
      <c r="DC43" s="249"/>
      <c r="DD43" s="249"/>
      <c r="DE43" s="249"/>
      <c r="DF43" s="249"/>
      <c r="DG43" s="249"/>
      <c r="DH43" s="249"/>
      <c r="DI43" s="249"/>
      <c r="DJ43" s="249"/>
      <c r="DK43" s="249"/>
      <c r="DL43" s="249"/>
      <c r="DM43" s="249"/>
      <c r="DN43" s="249"/>
      <c r="DO43" s="249"/>
      <c r="DP43" s="249"/>
      <c r="DQ43" s="249"/>
      <c r="DR43" s="249"/>
      <c r="DS43" s="249"/>
      <c r="DT43" s="249"/>
      <c r="DU43" s="249"/>
      <c r="DV43" s="249"/>
      <c r="DW43" s="249"/>
      <c r="DX43" s="249"/>
      <c r="DY43" s="249"/>
      <c r="DZ43" s="249"/>
      <c r="EA43" s="249"/>
      <c r="EB43" s="249"/>
      <c r="EC43" s="249"/>
      <c r="ED43" s="249"/>
      <c r="EE43" s="249"/>
      <c r="EF43" s="249"/>
      <c r="EG43" s="249"/>
      <c r="EH43" s="249"/>
      <c r="EI43" s="249"/>
      <c r="EJ43" s="249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49"/>
      <c r="FE43" s="249"/>
      <c r="FF43" s="249"/>
      <c r="FG43" s="249"/>
      <c r="FH43" s="249"/>
      <c r="FI43" s="249"/>
      <c r="FJ43" s="249"/>
      <c r="FK43" s="249"/>
      <c r="FL43" s="249"/>
      <c r="FM43" s="249"/>
      <c r="FN43" s="249"/>
      <c r="FO43" s="249"/>
      <c r="FP43" s="249"/>
      <c r="FQ43" s="249"/>
      <c r="FR43" s="249"/>
      <c r="FS43" s="249"/>
      <c r="FT43" s="249"/>
      <c r="FU43" s="249"/>
      <c r="FV43" s="249"/>
      <c r="FW43" s="249"/>
      <c r="FX43" s="249"/>
      <c r="FY43" s="249"/>
      <c r="FZ43" s="249"/>
      <c r="GA43" s="249"/>
      <c r="GB43" s="249"/>
      <c r="GC43" s="249"/>
      <c r="GD43" s="249"/>
      <c r="GE43" s="249"/>
      <c r="GF43" s="249"/>
      <c r="GG43" s="249"/>
      <c r="GH43" s="249"/>
      <c r="GI43" s="249"/>
      <c r="GJ43" s="249"/>
      <c r="GK43" s="249"/>
      <c r="GL43" s="249"/>
      <c r="GM43" s="249"/>
      <c r="GN43" s="249"/>
      <c r="GO43" s="249"/>
      <c r="GP43" s="249"/>
      <c r="GQ43" s="249"/>
      <c r="GR43" s="249"/>
      <c r="GS43" s="249"/>
      <c r="GT43" s="249"/>
      <c r="GU43" s="249"/>
    </row>
    <row r="44" spans="1:203" s="732" customFormat="1" x14ac:dyDescent="0.25">
      <c r="A44" s="52">
        <f>IF(COUNTBLANK(B44)=1," ",COUNTA($B$13:B44))</f>
        <v>14</v>
      </c>
      <c r="B44" s="288" t="s">
        <v>14</v>
      </c>
      <c r="C44" s="601" t="s">
        <v>230</v>
      </c>
      <c r="D44" s="301" t="s">
        <v>16</v>
      </c>
      <c r="E44" s="764">
        <v>182</v>
      </c>
      <c r="F44" s="10"/>
      <c r="G44" s="509"/>
      <c r="H44" s="271"/>
      <c r="I44" s="509"/>
      <c r="J44" s="512"/>
      <c r="K44" s="509"/>
      <c r="L44" s="534"/>
      <c r="M44" s="534"/>
      <c r="N44" s="534"/>
      <c r="O44" s="534"/>
      <c r="P44" s="534"/>
      <c r="Q44" s="534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49"/>
      <c r="CB44" s="249"/>
      <c r="CC44" s="249"/>
      <c r="CD44" s="249"/>
      <c r="CE44" s="249"/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49"/>
      <c r="DY44" s="249"/>
      <c r="DZ44" s="249"/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M44" s="249"/>
      <c r="EN44" s="249"/>
      <c r="EO44" s="249"/>
      <c r="EP44" s="249"/>
      <c r="EQ44" s="249"/>
      <c r="ER44" s="249"/>
      <c r="ES44" s="249"/>
      <c r="ET44" s="249"/>
      <c r="EU44" s="249"/>
      <c r="EV44" s="249"/>
      <c r="EW44" s="249"/>
      <c r="EX44" s="249"/>
      <c r="EY44" s="249"/>
      <c r="EZ44" s="249"/>
      <c r="FA44" s="249"/>
      <c r="FB44" s="249"/>
      <c r="FC44" s="249"/>
      <c r="FD44" s="249"/>
      <c r="FE44" s="249"/>
      <c r="FF44" s="249"/>
      <c r="FG44" s="249"/>
      <c r="FH44" s="249"/>
      <c r="FI44" s="249"/>
      <c r="FJ44" s="249"/>
      <c r="FK44" s="249"/>
      <c r="FL44" s="249"/>
      <c r="FM44" s="249"/>
      <c r="FN44" s="249"/>
      <c r="FO44" s="249"/>
      <c r="FP44" s="249"/>
      <c r="FQ44" s="249"/>
      <c r="FR44" s="249"/>
      <c r="FS44" s="249"/>
      <c r="FT44" s="249"/>
      <c r="FU44" s="249"/>
      <c r="FV44" s="249"/>
      <c r="FW44" s="249"/>
      <c r="FX44" s="249"/>
      <c r="FY44" s="249"/>
      <c r="FZ44" s="249"/>
      <c r="GA44" s="249"/>
      <c r="GB44" s="249"/>
      <c r="GC44" s="249"/>
      <c r="GD44" s="249"/>
      <c r="GE44" s="249"/>
      <c r="GF44" s="249"/>
      <c r="GG44" s="249"/>
      <c r="GH44" s="249"/>
      <c r="GI44" s="249"/>
      <c r="GJ44" s="249"/>
      <c r="GK44" s="249"/>
      <c r="GL44" s="249"/>
      <c r="GM44" s="249"/>
      <c r="GN44" s="249"/>
      <c r="GO44" s="249"/>
      <c r="GP44" s="249"/>
      <c r="GQ44" s="249"/>
      <c r="GR44" s="249"/>
      <c r="GS44" s="249"/>
      <c r="GT44" s="249"/>
      <c r="GU44" s="249"/>
    </row>
    <row r="45" spans="1:203" s="732" customFormat="1" ht="22.5" x14ac:dyDescent="0.25">
      <c r="A45" s="52">
        <f>IF(COUNTBLANK(B45)=1," ",COUNTA($B$13:B45))</f>
        <v>15</v>
      </c>
      <c r="B45" s="288" t="s">
        <v>14</v>
      </c>
      <c r="C45" s="601" t="s">
        <v>228</v>
      </c>
      <c r="D45" s="301" t="s">
        <v>26</v>
      </c>
      <c r="E45" s="290">
        <f>E44*0.2^3</f>
        <v>1.4560000000000004</v>
      </c>
      <c r="F45" s="136"/>
      <c r="G45" s="10"/>
      <c r="H45" s="271"/>
      <c r="I45" s="10"/>
      <c r="J45" s="58"/>
      <c r="K45" s="10"/>
      <c r="L45" s="534"/>
      <c r="M45" s="534"/>
      <c r="N45" s="534"/>
      <c r="O45" s="534"/>
      <c r="P45" s="534"/>
      <c r="Q45" s="534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49"/>
      <c r="DY45" s="249"/>
      <c r="DZ45" s="249"/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M45" s="249"/>
      <c r="EN45" s="249"/>
      <c r="EO45" s="249"/>
      <c r="EP45" s="249"/>
      <c r="EQ45" s="249"/>
      <c r="ER45" s="249"/>
      <c r="ES45" s="249"/>
      <c r="ET45" s="249"/>
      <c r="EU45" s="249"/>
      <c r="EV45" s="249"/>
      <c r="EW45" s="249"/>
      <c r="EX45" s="249"/>
      <c r="EY45" s="249"/>
      <c r="EZ45" s="249"/>
      <c r="FA45" s="249"/>
      <c r="FB45" s="249"/>
      <c r="FC45" s="249"/>
      <c r="FD45" s="249"/>
      <c r="FE45" s="249"/>
      <c r="FF45" s="249"/>
      <c r="FG45" s="249"/>
      <c r="FH45" s="249"/>
      <c r="FI45" s="249"/>
      <c r="FJ45" s="249"/>
      <c r="FK45" s="249"/>
      <c r="FL45" s="249"/>
      <c r="FM45" s="249"/>
      <c r="FN45" s="249"/>
      <c r="FO45" s="249"/>
      <c r="FP45" s="249"/>
      <c r="FQ45" s="249"/>
      <c r="FR45" s="249"/>
      <c r="FS45" s="249"/>
      <c r="FT45" s="249"/>
      <c r="FU45" s="249"/>
      <c r="FV45" s="249"/>
      <c r="FW45" s="249"/>
      <c r="FX45" s="249"/>
      <c r="FY45" s="249"/>
      <c r="FZ45" s="249"/>
      <c r="GA45" s="249"/>
      <c r="GB45" s="249"/>
      <c r="GC45" s="249"/>
      <c r="GD45" s="249"/>
      <c r="GE45" s="249"/>
      <c r="GF45" s="249"/>
      <c r="GG45" s="249"/>
      <c r="GH45" s="249"/>
      <c r="GI45" s="249"/>
      <c r="GJ45" s="249"/>
      <c r="GK45" s="249"/>
      <c r="GL45" s="249"/>
      <c r="GM45" s="249"/>
      <c r="GN45" s="249"/>
      <c r="GO45" s="249"/>
      <c r="GP45" s="249"/>
      <c r="GQ45" s="249"/>
      <c r="GR45" s="249"/>
      <c r="GS45" s="249"/>
      <c r="GT45" s="249"/>
      <c r="GU45" s="249"/>
    </row>
    <row r="46" spans="1:203" s="732" customFormat="1" x14ac:dyDescent="0.25">
      <c r="A46" s="52" t="str">
        <f>IF(COUNTBLANK(B46)=1," ",COUNTA($B$13:B46))</f>
        <v xml:space="preserve"> </v>
      </c>
      <c r="B46" s="288"/>
      <c r="C46" s="297" t="s">
        <v>229</v>
      </c>
      <c r="D46" s="302" t="s">
        <v>26</v>
      </c>
      <c r="E46" s="291">
        <f>E45*F46</f>
        <v>2.1840000000000006</v>
      </c>
      <c r="F46" s="136">
        <v>1.5</v>
      </c>
      <c r="G46" s="531"/>
      <c r="H46" s="532"/>
      <c r="I46" s="531"/>
      <c r="J46" s="531"/>
      <c r="K46" s="537"/>
      <c r="L46" s="534"/>
      <c r="M46" s="534"/>
      <c r="N46" s="534"/>
      <c r="O46" s="534"/>
      <c r="P46" s="534"/>
      <c r="Q46" s="534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49"/>
      <c r="CB46" s="249"/>
      <c r="CC46" s="249"/>
      <c r="CD46" s="249"/>
      <c r="CE46" s="249"/>
      <c r="CF46" s="249"/>
      <c r="CG46" s="249"/>
      <c r="CH46" s="249"/>
      <c r="CI46" s="249"/>
      <c r="CJ46" s="249"/>
      <c r="CK46" s="249"/>
      <c r="CL46" s="249"/>
      <c r="CM46" s="249"/>
      <c r="CN46" s="249"/>
      <c r="CO46" s="249"/>
      <c r="CP46" s="249"/>
      <c r="CQ46" s="249"/>
      <c r="CR46" s="249"/>
      <c r="CS46" s="249"/>
      <c r="CT46" s="249"/>
      <c r="CU46" s="249"/>
      <c r="CV46" s="249"/>
      <c r="CW46" s="249"/>
      <c r="CX46" s="249"/>
      <c r="CY46" s="249"/>
      <c r="CZ46" s="249"/>
      <c r="DA46" s="249"/>
      <c r="DB46" s="249"/>
      <c r="DC46" s="249"/>
      <c r="DD46" s="249"/>
      <c r="DE46" s="249"/>
      <c r="DF46" s="249"/>
      <c r="DG46" s="249"/>
      <c r="DH46" s="249"/>
      <c r="DI46" s="249"/>
      <c r="DJ46" s="249"/>
      <c r="DK46" s="249"/>
      <c r="DL46" s="249"/>
      <c r="DM46" s="249"/>
      <c r="DN46" s="249"/>
      <c r="DO46" s="249"/>
      <c r="DP46" s="249"/>
      <c r="DQ46" s="249"/>
      <c r="DR46" s="249"/>
      <c r="DS46" s="249"/>
      <c r="DT46" s="249"/>
      <c r="DU46" s="249"/>
      <c r="DV46" s="249"/>
      <c r="DW46" s="249"/>
      <c r="DX46" s="249"/>
      <c r="DY46" s="249"/>
      <c r="DZ46" s="249"/>
      <c r="EA46" s="249"/>
      <c r="EB46" s="249"/>
      <c r="EC46" s="249"/>
      <c r="ED46" s="249"/>
      <c r="EE46" s="249"/>
      <c r="EF46" s="249"/>
      <c r="EG46" s="249"/>
      <c r="EH46" s="249"/>
      <c r="EI46" s="249"/>
      <c r="EJ46" s="249"/>
      <c r="EK46" s="249"/>
      <c r="EL46" s="249"/>
      <c r="EM46" s="249"/>
      <c r="EN46" s="249"/>
      <c r="EO46" s="249"/>
      <c r="EP46" s="249"/>
      <c r="EQ46" s="249"/>
      <c r="ER46" s="249"/>
      <c r="ES46" s="249"/>
      <c r="ET46" s="249"/>
      <c r="EU46" s="249"/>
      <c r="EV46" s="249"/>
      <c r="EW46" s="249"/>
      <c r="EX46" s="249"/>
      <c r="EY46" s="249"/>
      <c r="EZ46" s="249"/>
      <c r="FA46" s="249"/>
      <c r="FB46" s="249"/>
      <c r="FC46" s="249"/>
      <c r="FD46" s="249"/>
      <c r="FE46" s="249"/>
      <c r="FF46" s="249"/>
      <c r="FG46" s="249"/>
      <c r="FH46" s="249"/>
      <c r="FI46" s="249"/>
      <c r="FJ46" s="249"/>
      <c r="FK46" s="249"/>
      <c r="FL46" s="249"/>
      <c r="FM46" s="249"/>
      <c r="FN46" s="249"/>
      <c r="FO46" s="249"/>
      <c r="FP46" s="249"/>
      <c r="FQ46" s="249"/>
      <c r="FR46" s="249"/>
      <c r="FS46" s="249"/>
      <c r="FT46" s="249"/>
      <c r="FU46" s="249"/>
      <c r="FV46" s="249"/>
      <c r="FW46" s="249"/>
      <c r="FX46" s="249"/>
      <c r="FY46" s="249"/>
      <c r="FZ46" s="249"/>
      <c r="GA46" s="249"/>
      <c r="GB46" s="249"/>
      <c r="GC46" s="249"/>
      <c r="GD46" s="249"/>
      <c r="GE46" s="249"/>
      <c r="GF46" s="249"/>
      <c r="GG46" s="249"/>
      <c r="GH46" s="249"/>
      <c r="GI46" s="249"/>
      <c r="GJ46" s="249"/>
      <c r="GK46" s="249"/>
      <c r="GL46" s="249"/>
      <c r="GM46" s="249"/>
      <c r="GN46" s="249"/>
      <c r="GO46" s="249"/>
      <c r="GP46" s="249"/>
      <c r="GQ46" s="249"/>
      <c r="GR46" s="249"/>
      <c r="GS46" s="249"/>
      <c r="GT46" s="249"/>
      <c r="GU46" s="249"/>
    </row>
    <row r="47" spans="1:203" s="202" customFormat="1" x14ac:dyDescent="0.25">
      <c r="A47" s="95" t="str">
        <f>IF(COUNTBLANK(B47)=1," ",COUNTA($B$13:B47))</f>
        <v xml:space="preserve"> </v>
      </c>
      <c r="B47" s="9"/>
      <c r="C47" s="540" t="s">
        <v>585</v>
      </c>
      <c r="D47" s="540"/>
      <c r="E47" s="540"/>
      <c r="F47" s="533"/>
      <c r="G47" s="533"/>
      <c r="H47" s="533"/>
      <c r="I47" s="533"/>
      <c r="J47" s="533"/>
      <c r="K47" s="533"/>
      <c r="L47" s="534"/>
      <c r="M47" s="534"/>
      <c r="N47" s="534"/>
      <c r="O47" s="534"/>
      <c r="P47" s="534"/>
      <c r="Q47" s="534"/>
    </row>
    <row r="48" spans="1:203" s="202" customFormat="1" x14ac:dyDescent="0.25">
      <c r="A48" s="95">
        <f>IF(COUNTBLANK(B48)=1," ",COUNTA($B$13:B48))</f>
        <v>16</v>
      </c>
      <c r="B48" s="9" t="s">
        <v>14</v>
      </c>
      <c r="C48" s="541" t="s">
        <v>584</v>
      </c>
      <c r="D48" s="542" t="s">
        <v>203</v>
      </c>
      <c r="E48" s="543">
        <v>8</v>
      </c>
      <c r="F48" s="533"/>
      <c r="G48" s="509"/>
      <c r="H48" s="271"/>
      <c r="I48" s="509"/>
      <c r="J48" s="510"/>
      <c r="K48" s="509"/>
      <c r="L48" s="534"/>
      <c r="M48" s="534"/>
      <c r="N48" s="534"/>
      <c r="O48" s="534"/>
      <c r="P48" s="534"/>
      <c r="Q48" s="534"/>
    </row>
    <row r="49" spans="1:17" s="35" customFormat="1" ht="22.5" x14ac:dyDescent="0.25">
      <c r="A49" s="95">
        <f>IF(COUNTBLANK(B49)=1," ",COUNTA($B$13:B49))</f>
        <v>17</v>
      </c>
      <c r="B49" s="9" t="s">
        <v>14</v>
      </c>
      <c r="C49" s="527" t="s">
        <v>592</v>
      </c>
      <c r="D49" s="528" t="s">
        <v>26</v>
      </c>
      <c r="E49" s="529">
        <f>7.2*0.4</f>
        <v>2.8800000000000003</v>
      </c>
      <c r="F49" s="529"/>
      <c r="G49" s="538"/>
      <c r="H49" s="538"/>
      <c r="I49" s="538"/>
      <c r="J49" s="538"/>
      <c r="K49" s="538"/>
      <c r="L49" s="539"/>
      <c r="M49" s="539"/>
      <c r="N49" s="539"/>
      <c r="O49" s="539"/>
      <c r="P49" s="539"/>
      <c r="Q49" s="539"/>
    </row>
    <row r="50" spans="1:17" s="35" customFormat="1" x14ac:dyDescent="0.25">
      <c r="A50" s="95" t="str">
        <f>IF(COUNTBLANK(B50)=1," ",COUNTA($B$13:B50))</f>
        <v xml:space="preserve"> </v>
      </c>
      <c r="B50" s="530"/>
      <c r="C50" s="527" t="s">
        <v>586</v>
      </c>
      <c r="D50" s="528" t="s">
        <v>26</v>
      </c>
      <c r="E50" s="529">
        <f>E49*F50</f>
        <v>0.43200000000000005</v>
      </c>
      <c r="F50" s="529">
        <v>0.15</v>
      </c>
      <c r="G50" s="538"/>
      <c r="H50" s="538"/>
      <c r="I50" s="538"/>
      <c r="J50" s="538"/>
      <c r="K50" s="538"/>
      <c r="L50" s="539"/>
      <c r="M50" s="539"/>
      <c r="N50" s="539"/>
      <c r="O50" s="539"/>
      <c r="P50" s="539"/>
      <c r="Q50" s="539"/>
    </row>
    <row r="51" spans="1:17" s="35" customFormat="1" x14ac:dyDescent="0.25">
      <c r="A51" s="95"/>
      <c r="B51" s="530"/>
      <c r="C51" s="527" t="s">
        <v>591</v>
      </c>
      <c r="D51" s="528" t="s">
        <v>16</v>
      </c>
      <c r="E51" s="529">
        <f>1.2*2*E48*1.2</f>
        <v>23.04</v>
      </c>
      <c r="F51" s="529">
        <v>1.1499999999999999</v>
      </c>
      <c r="G51" s="538"/>
      <c r="H51" s="538"/>
      <c r="I51" s="538"/>
      <c r="J51" s="538"/>
      <c r="K51" s="538"/>
      <c r="L51" s="539"/>
      <c r="M51" s="539"/>
      <c r="N51" s="539"/>
      <c r="O51" s="539"/>
      <c r="P51" s="539"/>
      <c r="Q51" s="539"/>
    </row>
    <row r="52" spans="1:17" s="202" customFormat="1" x14ac:dyDescent="0.25">
      <c r="A52" s="95" t="str">
        <f>IF(COUNTBLANK(B52)=1," ",COUNTA($B$13:B52))</f>
        <v xml:space="preserve"> </v>
      </c>
      <c r="B52" s="530"/>
      <c r="C52" s="527" t="s">
        <v>587</v>
      </c>
      <c r="D52" s="528" t="s">
        <v>26</v>
      </c>
      <c r="E52" s="529">
        <f>E49*F52</f>
        <v>2.6784000000000003</v>
      </c>
      <c r="F52" s="529">
        <v>0.93</v>
      </c>
      <c r="G52" s="538"/>
      <c r="H52" s="538"/>
      <c r="I52" s="538"/>
      <c r="J52" s="538"/>
      <c r="K52" s="538"/>
      <c r="L52" s="539"/>
      <c r="M52" s="539"/>
      <c r="N52" s="539"/>
      <c r="O52" s="539"/>
      <c r="P52" s="539"/>
      <c r="Q52" s="539"/>
    </row>
    <row r="53" spans="1:17" s="36" customFormat="1" x14ac:dyDescent="0.25">
      <c r="A53" s="95">
        <f>IF(COUNTBLANK(B53)=1," ",COUNTA($B$13:B53))</f>
        <v>18</v>
      </c>
      <c r="B53" s="9" t="s">
        <v>14</v>
      </c>
      <c r="C53" s="544" t="s">
        <v>588</v>
      </c>
      <c r="D53" s="545" t="s">
        <v>26</v>
      </c>
      <c r="E53" s="101">
        <f>E52*0.5</f>
        <v>1.3392000000000002</v>
      </c>
      <c r="F53" s="535"/>
      <c r="G53" s="10"/>
      <c r="H53" s="271"/>
      <c r="I53" s="10"/>
      <c r="J53" s="58"/>
      <c r="K53" s="10"/>
      <c r="L53" s="534"/>
      <c r="M53" s="534"/>
      <c r="N53" s="534"/>
      <c r="O53" s="534"/>
      <c r="P53" s="534"/>
      <c r="Q53" s="534"/>
    </row>
    <row r="54" spans="1:17" s="732" customFormat="1" x14ac:dyDescent="0.25">
      <c r="A54" s="95" t="str">
        <f>IF(COUNTBLANK(B54)=1," ",COUNTA($B$13:B54))</f>
        <v xml:space="preserve"> </v>
      </c>
      <c r="B54" s="743"/>
      <c r="C54" s="54" t="s">
        <v>589</v>
      </c>
      <c r="D54" s="729" t="s">
        <v>26</v>
      </c>
      <c r="E54" s="10">
        <f>E53*F54</f>
        <v>1.4731200000000002</v>
      </c>
      <c r="F54" s="10">
        <v>1.1000000000000001</v>
      </c>
      <c r="G54" s="10"/>
      <c r="H54" s="10"/>
      <c r="I54" s="10"/>
      <c r="J54" s="10"/>
      <c r="K54" s="10"/>
      <c r="L54" s="536"/>
      <c r="M54" s="536"/>
      <c r="N54" s="536"/>
      <c r="O54" s="536"/>
      <c r="P54" s="536"/>
      <c r="Q54" s="536"/>
    </row>
    <row r="55" spans="1:17" s="732" customFormat="1" x14ac:dyDescent="0.25">
      <c r="A55" s="744"/>
      <c r="B55" s="37"/>
      <c r="C55" s="50"/>
      <c r="D55" s="40"/>
      <c r="E55" s="227"/>
      <c r="F55" s="22"/>
      <c r="G55" s="19"/>
      <c r="H55" s="22"/>
      <c r="I55" s="22"/>
      <c r="J55" s="22"/>
      <c r="K55" s="22"/>
      <c r="L55" s="309"/>
      <c r="M55" s="313"/>
      <c r="N55" s="313"/>
      <c r="O55" s="313"/>
      <c r="P55" s="313"/>
      <c r="Q55" s="313"/>
    </row>
    <row r="56" spans="1:17" ht="22.5" x14ac:dyDescent="0.25">
      <c r="A56" s="738"/>
      <c r="B56" s="45"/>
      <c r="C56" s="217" t="s">
        <v>179</v>
      </c>
      <c r="D56" s="17"/>
      <c r="E56" s="162"/>
      <c r="F56" s="162"/>
      <c r="G56" s="17"/>
      <c r="H56" s="17"/>
      <c r="I56" s="17"/>
      <c r="J56" s="17"/>
      <c r="K56" s="17"/>
      <c r="L56" s="17"/>
      <c r="M56" s="20">
        <f>SUM(M13:M54)</f>
        <v>0</v>
      </c>
      <c r="N56" s="20">
        <f>SUM(N13:N54)</f>
        <v>0</v>
      </c>
      <c r="O56" s="20">
        <f>SUM(O13:O54)</f>
        <v>0</v>
      </c>
      <c r="P56" s="20">
        <f>SUM(P13:P54)</f>
        <v>0</v>
      </c>
      <c r="Q56" s="20">
        <f>SUM(Q13:Q54)</f>
        <v>0</v>
      </c>
    </row>
    <row r="57" spans="1:17" x14ac:dyDescent="0.25">
      <c r="A57" s="740"/>
      <c r="B57" s="94"/>
      <c r="C57" s="151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1:17" x14ac:dyDescent="0.25">
      <c r="A58" s="740"/>
      <c r="B58" s="140" t="str">
        <f>sas</f>
        <v>Sastādīja:</v>
      </c>
      <c r="C58" s="140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</row>
    <row r="59" spans="1:17" x14ac:dyDescent="0.25">
      <c r="A59" s="8"/>
      <c r="B59" s="140"/>
      <c r="C59" s="358" t="s">
        <v>145</v>
      </c>
      <c r="D59" s="140"/>
      <c r="E59" s="140"/>
      <c r="F59" s="94"/>
      <c r="G59" s="94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 x14ac:dyDescent="0.25">
      <c r="A60" s="8"/>
      <c r="B60" s="161"/>
      <c r="C60" s="161"/>
      <c r="D60" s="140"/>
      <c r="E60" s="140"/>
      <c r="F60" s="94"/>
      <c r="G60" s="94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x14ac:dyDescent="0.25">
      <c r="A61" s="8"/>
      <c r="B61" s="140" t="str">
        <f>dat</f>
        <v>Tāme sastādīta 201__. gada __.____________</v>
      </c>
      <c r="C61" s="140"/>
      <c r="D61" s="140"/>
      <c r="E61" s="140"/>
      <c r="F61" s="94"/>
      <c r="G61" s="94"/>
      <c r="H61" s="140"/>
      <c r="I61" s="140"/>
      <c r="J61" s="140"/>
      <c r="K61" s="140"/>
      <c r="L61" s="140"/>
      <c r="M61" s="140"/>
      <c r="N61" s="140"/>
      <c r="O61" s="140"/>
      <c r="P61" s="140"/>
      <c r="Q61" s="140"/>
    </row>
    <row r="62" spans="1:17" x14ac:dyDescent="0.25">
      <c r="A62" s="8"/>
      <c r="B62" s="161"/>
      <c r="C62" s="161"/>
      <c r="D62" s="140"/>
      <c r="E62" s="140"/>
      <c r="F62" s="94"/>
      <c r="G62" s="94"/>
      <c r="H62" s="140"/>
      <c r="I62" s="140"/>
      <c r="J62" s="140"/>
      <c r="K62" s="140"/>
      <c r="L62" s="140"/>
      <c r="M62" s="140"/>
      <c r="N62" s="140"/>
      <c r="O62" s="140"/>
      <c r="P62" s="140"/>
      <c r="Q62" s="140"/>
    </row>
    <row r="63" spans="1:17" x14ac:dyDescent="0.25">
      <c r="B63" s="140" t="s">
        <v>147</v>
      </c>
      <c r="C63" s="140"/>
      <c r="F63" s="45"/>
    </row>
    <row r="64" spans="1:17" x14ac:dyDescent="0.25">
      <c r="B64" s="140"/>
      <c r="C64" s="358" t="s">
        <v>145</v>
      </c>
      <c r="F64" s="45"/>
    </row>
    <row r="65" spans="2:6" x14ac:dyDescent="0.25">
      <c r="B65" s="161"/>
      <c r="C65" s="140" t="s">
        <v>148</v>
      </c>
      <c r="F65" s="45"/>
    </row>
    <row r="66" spans="2:6" x14ac:dyDescent="0.25">
      <c r="C66" s="144"/>
      <c r="D66" s="203"/>
    </row>
  </sheetData>
  <autoFilter ref="A12:HB54" xr:uid="{00000000-0009-0000-0000-000007000000}"/>
  <mergeCells count="9">
    <mergeCell ref="R19:S19"/>
    <mergeCell ref="A1:G1"/>
    <mergeCell ref="E9:E11"/>
    <mergeCell ref="M9:Q9"/>
    <mergeCell ref="A9:A11"/>
    <mergeCell ref="B9:B11"/>
    <mergeCell ref="C9:C11"/>
    <mergeCell ref="D9:D11"/>
    <mergeCell ref="G9:L9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  <ignoredErrors>
    <ignoredError sqref="E37:E41 E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D65"/>
  <sheetViews>
    <sheetView view="pageBreakPreview" topLeftCell="A11" zoomScale="85" zoomScaleNormal="85" zoomScaleSheetLayoutView="85" workbookViewId="0">
      <selection activeCell="C23" sqref="C23"/>
    </sheetView>
  </sheetViews>
  <sheetFormatPr defaultColWidth="8.5703125" defaultRowHeight="11.25" x14ac:dyDescent="0.25"/>
  <cols>
    <col min="1" max="1" width="4.42578125" style="32" customWidth="1"/>
    <col min="2" max="2" width="4.7109375" style="100" customWidth="1"/>
    <col min="3" max="3" width="40.7109375" style="129" customWidth="1"/>
    <col min="4" max="4" width="7" style="100" customWidth="1"/>
    <col min="5" max="5" width="6.42578125" style="100" customWidth="1"/>
    <col min="6" max="6" width="5.42578125" style="100" customWidth="1"/>
    <col min="7" max="7" width="7" style="45" customWidth="1"/>
    <col min="8" max="9" width="6.5703125" style="100" customWidth="1"/>
    <col min="10" max="10" width="5.7109375" style="100" customWidth="1"/>
    <col min="11" max="11" width="5.5703125" style="100" customWidth="1"/>
    <col min="12" max="12" width="6.140625" style="100" customWidth="1"/>
    <col min="13" max="13" width="6.5703125" style="100" customWidth="1"/>
    <col min="14" max="14" width="7.7109375" style="100" customWidth="1"/>
    <col min="15" max="15" width="7.140625" style="100" customWidth="1"/>
    <col min="16" max="16" width="7.5703125" style="100" customWidth="1"/>
    <col min="17" max="17" width="8.42578125" style="100" customWidth="1"/>
    <col min="18" max="16384" width="8.5703125" style="100"/>
  </cols>
  <sheetData>
    <row r="1" spans="1:17" s="27" customFormat="1" ht="12" thickBot="1" x14ac:dyDescent="0.3">
      <c r="A1" s="837" t="s">
        <v>6</v>
      </c>
      <c r="B1" s="837"/>
      <c r="C1" s="837"/>
      <c r="D1" s="837"/>
      <c r="E1" s="837"/>
      <c r="F1" s="837"/>
      <c r="G1" s="838"/>
      <c r="H1" s="25">
        <f>KPDV!A18</f>
        <v>6</v>
      </c>
      <c r="I1" s="26"/>
      <c r="J1" s="26"/>
      <c r="K1" s="26"/>
      <c r="L1" s="26"/>
      <c r="M1" s="26"/>
    </row>
    <row r="2" spans="1:17" s="27" customFormat="1" x14ac:dyDescent="0.25">
      <c r="A2" s="267"/>
      <c r="B2" s="731"/>
      <c r="C2" s="30" t="s">
        <v>576</v>
      </c>
      <c r="D2" s="731"/>
      <c r="E2" s="731"/>
      <c r="F2" s="731"/>
      <c r="G2" s="741"/>
      <c r="H2" s="183"/>
      <c r="I2" s="26"/>
      <c r="J2" s="26"/>
      <c r="K2" s="26"/>
      <c r="L2" s="26"/>
      <c r="M2" s="26"/>
    </row>
    <row r="3" spans="1:17" s="140" customFormat="1" x14ac:dyDescent="0.25">
      <c r="A3" s="190" t="str">
        <f>nos</f>
        <v>Būves nosaukums:  Dzīvojamās māja</v>
      </c>
      <c r="B3" s="4"/>
      <c r="C3" s="2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40" customFormat="1" x14ac:dyDescent="0.25">
      <c r="A4" s="168" t="str">
        <f>obj</f>
        <v>Objekta nosaukums: Dzīvojamās ēkas fasādes vienkāršota atjaunošana</v>
      </c>
      <c r="B4" s="4"/>
      <c r="C4" s="2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40" customFormat="1" x14ac:dyDescent="0.25">
      <c r="A5" s="168" t="str">
        <f>adres</f>
        <v>Objekta adrese: Aisteres iela 7, Liepājā</v>
      </c>
      <c r="B5" s="4"/>
      <c r="C5" s="2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140" customFormat="1" ht="12" thickBot="1" x14ac:dyDescent="0.3">
      <c r="A6" s="168" t="str">
        <f>nr</f>
        <v>Pasūtījuma Nr.WS-41-17</v>
      </c>
      <c r="B6" s="4"/>
      <c r="C6" s="2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140" customFormat="1" ht="23.25" thickBot="1" x14ac:dyDescent="0.3">
      <c r="A7" s="190"/>
      <c r="B7" s="7"/>
      <c r="C7" s="186" t="s">
        <v>695</v>
      </c>
      <c r="D7" s="162"/>
      <c r="E7" s="187" t="s">
        <v>142</v>
      </c>
      <c r="F7" s="7" t="s">
        <v>143</v>
      </c>
      <c r="G7" s="7"/>
      <c r="H7" s="7"/>
      <c r="I7" s="7"/>
      <c r="J7" s="7"/>
      <c r="K7" s="7"/>
      <c r="L7" s="7"/>
      <c r="M7" s="7"/>
      <c r="N7" s="7"/>
      <c r="O7" s="7"/>
      <c r="P7" s="163" t="s">
        <v>144</v>
      </c>
      <c r="Q7" s="29">
        <f>Q55</f>
        <v>0</v>
      </c>
    </row>
    <row r="8" spans="1:17" s="27" customFormat="1" x14ac:dyDescent="0.25">
      <c r="A8" s="182"/>
      <c r="B8" s="187"/>
      <c r="C8" s="15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62"/>
      <c r="O8" s="188"/>
      <c r="P8" s="189" t="str">
        <f>KPDV!C47</f>
        <v>Tāme sastādīta 201__. gada __.____________</v>
      </c>
      <c r="Q8" s="31"/>
    </row>
    <row r="9" spans="1:17" s="32" customFormat="1" x14ac:dyDescent="0.25">
      <c r="A9" s="830" t="s">
        <v>7</v>
      </c>
      <c r="B9" s="831" t="s">
        <v>8</v>
      </c>
      <c r="C9" s="835" t="s">
        <v>132</v>
      </c>
      <c r="D9" s="839" t="s">
        <v>51</v>
      </c>
      <c r="E9" s="831" t="s">
        <v>114</v>
      </c>
      <c r="F9" s="727"/>
      <c r="G9" s="829" t="s">
        <v>133</v>
      </c>
      <c r="H9" s="829"/>
      <c r="I9" s="829"/>
      <c r="J9" s="829"/>
      <c r="K9" s="829"/>
      <c r="L9" s="829"/>
      <c r="M9" s="829" t="s">
        <v>134</v>
      </c>
      <c r="N9" s="829"/>
      <c r="O9" s="829"/>
      <c r="P9" s="829"/>
      <c r="Q9" s="829"/>
    </row>
    <row r="10" spans="1:17" s="32" customFormat="1" ht="69" x14ac:dyDescent="0.25">
      <c r="A10" s="830"/>
      <c r="B10" s="831"/>
      <c r="C10" s="835"/>
      <c r="D10" s="839"/>
      <c r="E10" s="831"/>
      <c r="F10" s="727"/>
      <c r="G10" s="749" t="s">
        <v>135</v>
      </c>
      <c r="H10" s="749" t="s">
        <v>136</v>
      </c>
      <c r="I10" s="749" t="s">
        <v>137</v>
      </c>
      <c r="J10" s="749" t="s">
        <v>138</v>
      </c>
      <c r="K10" s="749" t="s">
        <v>139</v>
      </c>
      <c r="L10" s="749" t="s">
        <v>140</v>
      </c>
      <c r="M10" s="749" t="s">
        <v>141</v>
      </c>
      <c r="N10" s="749" t="s">
        <v>137</v>
      </c>
      <c r="O10" s="749" t="s">
        <v>138</v>
      </c>
      <c r="P10" s="749" t="s">
        <v>139</v>
      </c>
      <c r="Q10" s="749" t="s">
        <v>140</v>
      </c>
    </row>
    <row r="11" spans="1:17" s="32" customFormat="1" x14ac:dyDescent="0.25">
      <c r="A11" s="410">
        <v>1</v>
      </c>
      <c r="B11" s="33">
        <f>A11+1</f>
        <v>2</v>
      </c>
      <c r="C11" s="730">
        <v>3</v>
      </c>
      <c r="D11" s="33">
        <f>C11+1</f>
        <v>4</v>
      </c>
      <c r="E11" s="33">
        <f>D11+1</f>
        <v>5</v>
      </c>
      <c r="F11" s="145"/>
      <c r="G11" s="33">
        <f>E11+1</f>
        <v>6</v>
      </c>
      <c r="H11" s="33">
        <f t="shared" ref="H11:Q11" si="0">G11+1</f>
        <v>7</v>
      </c>
      <c r="I11" s="33">
        <f t="shared" si="0"/>
        <v>8</v>
      </c>
      <c r="J11" s="33">
        <f t="shared" si="0"/>
        <v>9</v>
      </c>
      <c r="K11" s="33">
        <f t="shared" si="0"/>
        <v>10</v>
      </c>
      <c r="L11" s="33">
        <f t="shared" si="0"/>
        <v>11</v>
      </c>
      <c r="M11" s="33">
        <f t="shared" si="0"/>
        <v>12</v>
      </c>
      <c r="N11" s="33">
        <f t="shared" si="0"/>
        <v>13</v>
      </c>
      <c r="O11" s="33">
        <f t="shared" si="0"/>
        <v>14</v>
      </c>
      <c r="P11" s="33">
        <f t="shared" si="0"/>
        <v>15</v>
      </c>
      <c r="Q11" s="340">
        <f t="shared" si="0"/>
        <v>16</v>
      </c>
    </row>
    <row r="12" spans="1:17" s="147" customFormat="1" x14ac:dyDescent="0.25">
      <c r="A12" s="52">
        <f>IF(COUNTBLANK(B12)=1," ",COUNTA($B$12:B12))</f>
        <v>1</v>
      </c>
      <c r="B12" s="13" t="s">
        <v>14</v>
      </c>
      <c r="C12" s="54" t="s">
        <v>53</v>
      </c>
      <c r="D12" s="57" t="s">
        <v>26</v>
      </c>
      <c r="E12" s="743">
        <f>apjom!U76*0.15</f>
        <v>13.049999999999999</v>
      </c>
      <c r="F12" s="59"/>
      <c r="G12" s="209"/>
      <c r="H12" s="209"/>
      <c r="I12" s="209"/>
      <c r="J12" s="209"/>
      <c r="K12" s="209"/>
      <c r="L12" s="534"/>
      <c r="M12" s="534"/>
      <c r="N12" s="534"/>
      <c r="O12" s="534"/>
      <c r="P12" s="534"/>
      <c r="Q12" s="534"/>
    </row>
    <row r="13" spans="1:17" s="140" customFormat="1" x14ac:dyDescent="0.25">
      <c r="A13" s="52">
        <f>IF(COUNTBLANK(B13)=1," ",COUNTA($B$12:B13))</f>
        <v>2</v>
      </c>
      <c r="B13" s="13" t="s">
        <v>14</v>
      </c>
      <c r="C13" s="54" t="s">
        <v>33</v>
      </c>
      <c r="D13" s="743" t="s">
        <v>65</v>
      </c>
      <c r="E13" s="743">
        <f>apjom!U37*0.7</f>
        <v>147</v>
      </c>
      <c r="F13" s="742"/>
      <c r="G13" s="60"/>
      <c r="H13" s="271"/>
      <c r="I13" s="15"/>
      <c r="J13" s="15"/>
      <c r="K13" s="60"/>
      <c r="L13" s="534"/>
      <c r="M13" s="534"/>
      <c r="N13" s="534"/>
      <c r="O13" s="534"/>
      <c r="P13" s="534"/>
      <c r="Q13" s="534"/>
    </row>
    <row r="14" spans="1:17" s="140" customFormat="1" x14ac:dyDescent="0.25">
      <c r="A14" s="52">
        <f>IF(COUNTBLANK(B14)=1," ",COUNTA($B$12:B14))</f>
        <v>3</v>
      </c>
      <c r="B14" s="13" t="s">
        <v>14</v>
      </c>
      <c r="C14" s="14" t="s">
        <v>64</v>
      </c>
      <c r="D14" s="57" t="s">
        <v>26</v>
      </c>
      <c r="E14" s="743">
        <f>apjom!U76*1.2*1</f>
        <v>104.39999999999999</v>
      </c>
      <c r="F14" s="128"/>
      <c r="G14" s="34"/>
      <c r="H14" s="271"/>
      <c r="I14" s="34"/>
      <c r="J14" s="34"/>
      <c r="K14" s="34"/>
      <c r="L14" s="534"/>
      <c r="M14" s="534"/>
      <c r="N14" s="534"/>
      <c r="O14" s="534"/>
      <c r="P14" s="534"/>
      <c r="Q14" s="534"/>
    </row>
    <row r="15" spans="1:17" s="26" customFormat="1" ht="22.5" x14ac:dyDescent="0.25">
      <c r="A15" s="52">
        <f>IF(COUNTBLANK(B15)=1," ",COUNTA($B$12:B15))</f>
        <v>4</v>
      </c>
      <c r="B15" s="13" t="s">
        <v>14</v>
      </c>
      <c r="C15" s="54" t="s">
        <v>34</v>
      </c>
      <c r="D15" s="743" t="s">
        <v>65</v>
      </c>
      <c r="E15" s="53">
        <f>apjom!E84</f>
        <v>147.9</v>
      </c>
      <c r="F15" s="60"/>
      <c r="G15" s="211"/>
      <c r="H15" s="271"/>
      <c r="I15" s="212"/>
      <c r="J15" s="212"/>
      <c r="K15" s="211"/>
      <c r="L15" s="534"/>
      <c r="M15" s="534"/>
      <c r="N15" s="534"/>
      <c r="O15" s="534"/>
      <c r="P15" s="534"/>
      <c r="Q15" s="534"/>
    </row>
    <row r="16" spans="1:17" s="27" customFormat="1" x14ac:dyDescent="0.25">
      <c r="A16" s="52" t="str">
        <f>IF(COUNTBLANK(B16)=1," ",COUNTA($B$12:B16))</f>
        <v xml:space="preserve"> </v>
      </c>
      <c r="B16" s="135"/>
      <c r="C16" s="16" t="s">
        <v>28</v>
      </c>
      <c r="D16" s="135" t="s">
        <v>23</v>
      </c>
      <c r="E16" s="60">
        <f>E15*F16</f>
        <v>44.37</v>
      </c>
      <c r="F16" s="60">
        <v>0.3</v>
      </c>
      <c r="G16" s="211"/>
      <c r="H16" s="211"/>
      <c r="I16" s="211"/>
      <c r="J16" s="211"/>
      <c r="K16" s="211"/>
      <c r="L16" s="534"/>
      <c r="M16" s="534"/>
      <c r="N16" s="534"/>
      <c r="O16" s="534"/>
      <c r="P16" s="534"/>
      <c r="Q16" s="534"/>
    </row>
    <row r="17" spans="1:212" s="35" customFormat="1" ht="22.5" x14ac:dyDescent="0.25">
      <c r="A17" s="52">
        <f>IF(COUNTBLANK(B17)=1," ",COUNTA($B$12:B17))</f>
        <v>5</v>
      </c>
      <c r="B17" s="13" t="s">
        <v>14</v>
      </c>
      <c r="C17" s="14" t="s">
        <v>35</v>
      </c>
      <c r="D17" s="57" t="s">
        <v>17</v>
      </c>
      <c r="E17" s="85">
        <f>E15</f>
        <v>147.9</v>
      </c>
      <c r="F17" s="34"/>
      <c r="G17" s="209"/>
      <c r="H17" s="271"/>
      <c r="I17" s="209"/>
      <c r="J17" s="209"/>
      <c r="K17" s="209"/>
      <c r="L17" s="534"/>
      <c r="M17" s="534"/>
      <c r="N17" s="534"/>
      <c r="O17" s="534"/>
      <c r="P17" s="534"/>
      <c r="Q17" s="534"/>
    </row>
    <row r="18" spans="1:212" s="35" customFormat="1" x14ac:dyDescent="0.25">
      <c r="A18" s="52" t="str">
        <f>IF(COUNTBLANK(B18)=1," ",COUNTA($B$12:B18))</f>
        <v xml:space="preserve"> </v>
      </c>
      <c r="B18" s="57"/>
      <c r="C18" s="14" t="s">
        <v>36</v>
      </c>
      <c r="D18" s="34" t="s">
        <v>23</v>
      </c>
      <c r="E18" s="34">
        <f>E17*F18</f>
        <v>443.70000000000005</v>
      </c>
      <c r="F18" s="34">
        <v>3</v>
      </c>
      <c r="G18" s="209"/>
      <c r="H18" s="209"/>
      <c r="I18" s="209"/>
      <c r="J18" s="209"/>
      <c r="K18" s="209"/>
      <c r="L18" s="534"/>
      <c r="M18" s="534"/>
      <c r="N18" s="534"/>
      <c r="O18" s="534"/>
      <c r="P18" s="534"/>
      <c r="Q18" s="534"/>
    </row>
    <row r="19" spans="1:212" s="36" customFormat="1" ht="45" x14ac:dyDescent="0.25">
      <c r="A19" s="52">
        <f>IF(COUNTBLANK(B19)=1," ",COUNTA($B$12:B19))</f>
        <v>6</v>
      </c>
      <c r="B19" s="13" t="s">
        <v>14</v>
      </c>
      <c r="C19" s="14" t="str">
        <f>apjom!B84</f>
        <v>Putupolistirola plāksne, (ekvivalents
Tenapors NEO EPS 100 λ=0,031 W/m²×K);   b=150mm 
Līmjava, Vertikālā hidroizolācija, Gruntējums
Esoša siena/ribotais panelis   b=350/140mm</v>
      </c>
      <c r="D19" s="57" t="s">
        <v>17</v>
      </c>
      <c r="E19" s="85">
        <f>E17</f>
        <v>147.9</v>
      </c>
      <c r="F19" s="57"/>
      <c r="G19" s="209"/>
      <c r="H19" s="271"/>
      <c r="I19" s="209"/>
      <c r="J19" s="508"/>
      <c r="K19" s="204"/>
      <c r="L19" s="534"/>
      <c r="M19" s="534"/>
      <c r="N19" s="534"/>
      <c r="O19" s="534"/>
      <c r="P19" s="534"/>
      <c r="Q19" s="534"/>
    </row>
    <row r="20" spans="1:212" s="732" customFormat="1" x14ac:dyDescent="0.25">
      <c r="A20" s="52" t="str">
        <f>IF(COUNTBLANK(B20)=1," ",COUNTA($B$12:B20))</f>
        <v xml:space="preserve"> </v>
      </c>
      <c r="B20" s="57"/>
      <c r="C20" s="14" t="s">
        <v>879</v>
      </c>
      <c r="D20" s="57" t="s">
        <v>17</v>
      </c>
      <c r="E20" s="34">
        <f>ROUNDUP(E19*F20,2)</f>
        <v>155.29999999999998</v>
      </c>
      <c r="F20" s="57">
        <v>1.05</v>
      </c>
      <c r="G20" s="204"/>
      <c r="H20" s="204"/>
      <c r="I20" s="204"/>
      <c r="J20" s="209"/>
      <c r="K20" s="209"/>
      <c r="L20" s="534"/>
      <c r="M20" s="534"/>
      <c r="N20" s="534"/>
      <c r="O20" s="534"/>
      <c r="P20" s="534"/>
      <c r="Q20" s="534"/>
    </row>
    <row r="21" spans="1:212" s="732" customFormat="1" x14ac:dyDescent="0.25">
      <c r="A21" s="52" t="str">
        <f>IF(COUNTBLANK(B21)=1," ",COUNTA($B$12:B21))</f>
        <v xml:space="preserve"> </v>
      </c>
      <c r="B21" s="288"/>
      <c r="C21" s="289" t="s">
        <v>170</v>
      </c>
      <c r="D21" s="268" t="s">
        <v>23</v>
      </c>
      <c r="E21" s="34">
        <f>ROUNDUP(E19*F21,2)</f>
        <v>44.37</v>
      </c>
      <c r="F21" s="291">
        <v>0.3</v>
      </c>
      <c r="G21" s="209"/>
      <c r="H21" s="209"/>
      <c r="I21" s="209"/>
      <c r="J21" s="209"/>
      <c r="K21" s="209"/>
      <c r="L21" s="534"/>
      <c r="M21" s="534"/>
      <c r="N21" s="534"/>
      <c r="O21" s="534"/>
      <c r="P21" s="534"/>
      <c r="Q21" s="534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</row>
    <row r="22" spans="1:212" s="732" customFormat="1" x14ac:dyDescent="0.25">
      <c r="A22" s="52" t="str">
        <f>IF(COUNTBLANK(B22)=1," ",COUNTA($B$12:B22))</f>
        <v xml:space="preserve"> </v>
      </c>
      <c r="B22" s="57"/>
      <c r="C22" s="14" t="s">
        <v>194</v>
      </c>
      <c r="D22" s="57" t="s">
        <v>23</v>
      </c>
      <c r="E22" s="34">
        <f>ROUNDUP(E19*F22,2)</f>
        <v>739.5</v>
      </c>
      <c r="F22" s="34">
        <v>5</v>
      </c>
      <c r="G22" s="209"/>
      <c r="H22" s="209"/>
      <c r="I22" s="204"/>
      <c r="J22" s="209"/>
      <c r="K22" s="209"/>
      <c r="L22" s="534"/>
      <c r="M22" s="534"/>
      <c r="N22" s="534"/>
      <c r="O22" s="534"/>
      <c r="P22" s="534"/>
      <c r="Q22" s="534"/>
    </row>
    <row r="23" spans="1:212" s="732" customFormat="1" x14ac:dyDescent="0.25">
      <c r="A23" s="52" t="str">
        <f>IF(COUNTBLANK(B23)=1," ",COUNTA($B$12:B23))</f>
        <v xml:space="preserve"> </v>
      </c>
      <c r="B23" s="57"/>
      <c r="C23" s="14" t="s">
        <v>195</v>
      </c>
      <c r="D23" s="57" t="s">
        <v>201</v>
      </c>
      <c r="E23" s="34">
        <f>ROUNDUP(E19*F23,0)</f>
        <v>888</v>
      </c>
      <c r="F23" s="34">
        <v>6</v>
      </c>
      <c r="G23" s="60"/>
      <c r="H23" s="60"/>
      <c r="I23" s="60"/>
      <c r="J23" s="60"/>
      <c r="K23" s="60"/>
      <c r="L23" s="534"/>
      <c r="M23" s="534"/>
      <c r="N23" s="534"/>
      <c r="O23" s="534"/>
      <c r="P23" s="534"/>
      <c r="Q23" s="534"/>
    </row>
    <row r="24" spans="1:212" s="147" customFormat="1" x14ac:dyDescent="0.25">
      <c r="A24" s="52">
        <f>IF(COUNTBLANK(B24)=1," ",COUNTA($B$12:B24))</f>
        <v>7</v>
      </c>
      <c r="B24" s="13" t="s">
        <v>14</v>
      </c>
      <c r="C24" s="14" t="s">
        <v>37</v>
      </c>
      <c r="D24" s="57" t="s">
        <v>26</v>
      </c>
      <c r="E24" s="85">
        <f>E14</f>
        <v>104.39999999999999</v>
      </c>
      <c r="F24" s="57"/>
      <c r="G24" s="60"/>
      <c r="H24" s="271"/>
      <c r="I24" s="60"/>
      <c r="J24" s="34"/>
      <c r="K24" s="34"/>
      <c r="L24" s="534"/>
      <c r="M24" s="534"/>
      <c r="N24" s="534"/>
      <c r="O24" s="534"/>
      <c r="P24" s="534"/>
      <c r="Q24" s="534"/>
    </row>
    <row r="25" spans="1:212" s="732" customFormat="1" ht="33.75" x14ac:dyDescent="0.25">
      <c r="A25" s="52">
        <f>IF(COUNTBLANK(B25)=1," ",COUNTA($B$12:B25))</f>
        <v>8</v>
      </c>
      <c r="B25" s="13" t="s">
        <v>14</v>
      </c>
      <c r="C25" s="14" t="s">
        <v>859</v>
      </c>
      <c r="D25" s="57" t="s">
        <v>17</v>
      </c>
      <c r="E25" s="85">
        <f>apjom!U76*0.7</f>
        <v>60.9</v>
      </c>
      <c r="F25" s="34"/>
      <c r="G25" s="211"/>
      <c r="H25" s="271"/>
      <c r="I25" s="212"/>
      <c r="J25" s="212"/>
      <c r="K25" s="211"/>
      <c r="L25" s="534"/>
      <c r="M25" s="534"/>
      <c r="N25" s="534"/>
      <c r="O25" s="534"/>
      <c r="P25" s="534"/>
      <c r="Q25" s="534"/>
    </row>
    <row r="26" spans="1:212" s="732" customFormat="1" x14ac:dyDescent="0.25">
      <c r="A26" s="52" t="str">
        <f>IF(COUNTBLANK(B26)=1," ",COUNTA($B$12:B26))</f>
        <v xml:space="preserve"> </v>
      </c>
      <c r="B26" s="292"/>
      <c r="C26" s="14" t="s">
        <v>196</v>
      </c>
      <c r="D26" s="294" t="s">
        <v>23</v>
      </c>
      <c r="E26" s="34">
        <f>ROUNDUP(E25*F26,2)</f>
        <v>304.5</v>
      </c>
      <c r="F26" s="270">
        <v>5</v>
      </c>
      <c r="G26" s="211"/>
      <c r="H26" s="211"/>
      <c r="I26" s="211"/>
      <c r="J26" s="211"/>
      <c r="K26" s="211"/>
      <c r="L26" s="534"/>
      <c r="M26" s="534"/>
      <c r="N26" s="534"/>
      <c r="O26" s="534"/>
      <c r="P26" s="534"/>
      <c r="Q26" s="534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</row>
    <row r="27" spans="1:212" s="732" customFormat="1" ht="14.25" x14ac:dyDescent="0.25">
      <c r="A27" s="52" t="str">
        <f>IF(COUNTBLANK(B27)=1," ",COUNTA($B$12:B27))</f>
        <v xml:space="preserve"> </v>
      </c>
      <c r="B27" s="292"/>
      <c r="C27" s="276" t="s">
        <v>210</v>
      </c>
      <c r="D27" s="463" t="s">
        <v>17</v>
      </c>
      <c r="E27" s="34">
        <f>ROUNDUP(E25*F27,2)</f>
        <v>133.97999999999999</v>
      </c>
      <c r="F27" s="270">
        <v>2.2000000000000002</v>
      </c>
      <c r="G27" s="211"/>
      <c r="H27" s="211"/>
      <c r="I27" s="211"/>
      <c r="J27" s="211"/>
      <c r="K27" s="211"/>
      <c r="L27" s="534"/>
      <c r="M27" s="534"/>
      <c r="N27" s="534"/>
      <c r="O27" s="534"/>
      <c r="P27" s="534"/>
      <c r="Q27" s="534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  <c r="AZ27" s="277"/>
      <c r="BA27" s="277"/>
      <c r="BB27" s="277"/>
      <c r="BC27" s="277"/>
      <c r="BD27" s="277"/>
      <c r="BE27" s="277"/>
      <c r="BF27" s="277"/>
      <c r="BG27" s="277"/>
      <c r="BH27" s="277"/>
      <c r="BI27" s="277"/>
      <c r="BJ27" s="277"/>
      <c r="BK27" s="277"/>
      <c r="BL27" s="277"/>
      <c r="BM27" s="277"/>
      <c r="BN27" s="277"/>
      <c r="BO27" s="277"/>
      <c r="BP27" s="277"/>
      <c r="BQ27" s="277"/>
      <c r="BR27" s="277"/>
      <c r="BS27" s="277"/>
      <c r="BT27" s="277"/>
      <c r="BU27" s="277"/>
      <c r="BV27" s="277"/>
      <c r="BW27" s="277"/>
      <c r="BX27" s="277"/>
      <c r="BY27" s="277"/>
      <c r="BZ27" s="277"/>
      <c r="CA27" s="277"/>
      <c r="CB27" s="277"/>
      <c r="CC27" s="277"/>
      <c r="CD27" s="277"/>
      <c r="CE27" s="277"/>
      <c r="CF27" s="277"/>
      <c r="CG27" s="277"/>
      <c r="CH27" s="277"/>
      <c r="CI27" s="277"/>
      <c r="CJ27" s="277"/>
      <c r="CK27" s="277"/>
      <c r="CL27" s="277"/>
      <c r="CM27" s="277"/>
      <c r="CN27" s="277"/>
      <c r="CO27" s="277"/>
      <c r="CP27" s="277"/>
      <c r="CQ27" s="277"/>
      <c r="CR27" s="277"/>
      <c r="CS27" s="277"/>
      <c r="CT27" s="277"/>
      <c r="CU27" s="277"/>
      <c r="CV27" s="277"/>
      <c r="CW27" s="277"/>
      <c r="CX27" s="277"/>
      <c r="CY27" s="277"/>
      <c r="CZ27" s="277"/>
      <c r="DA27" s="277"/>
      <c r="DB27" s="277"/>
      <c r="DC27" s="277"/>
      <c r="DD27" s="277"/>
      <c r="DE27" s="277"/>
      <c r="DF27" s="277"/>
      <c r="DG27" s="277"/>
      <c r="DH27" s="277"/>
      <c r="DI27" s="277"/>
      <c r="DJ27" s="277"/>
      <c r="DK27" s="277"/>
      <c r="DL27" s="277"/>
      <c r="DM27" s="277"/>
      <c r="DN27" s="277"/>
      <c r="DO27" s="277"/>
      <c r="DP27" s="277"/>
      <c r="DQ27" s="277"/>
      <c r="DR27" s="277"/>
      <c r="DS27" s="277"/>
      <c r="DT27" s="277"/>
      <c r="DU27" s="277"/>
      <c r="DV27" s="277"/>
      <c r="DW27" s="277"/>
      <c r="DX27" s="277"/>
      <c r="DY27" s="277"/>
      <c r="DZ27" s="277"/>
      <c r="EA27" s="277"/>
      <c r="EB27" s="277"/>
      <c r="EC27" s="277"/>
      <c r="ED27" s="277"/>
      <c r="EE27" s="277"/>
      <c r="EF27" s="277"/>
      <c r="EG27" s="277"/>
      <c r="EH27" s="277"/>
      <c r="EI27" s="277"/>
      <c r="EJ27" s="277"/>
      <c r="EK27" s="277"/>
      <c r="EL27" s="277"/>
      <c r="EM27" s="277"/>
      <c r="EN27" s="277"/>
      <c r="EO27" s="277"/>
      <c r="EP27" s="277"/>
      <c r="EQ27" s="277"/>
      <c r="ER27" s="277"/>
      <c r="ES27" s="277"/>
      <c r="ET27" s="277"/>
      <c r="EU27" s="277"/>
      <c r="EV27" s="277"/>
      <c r="EW27" s="277"/>
      <c r="EX27" s="277"/>
      <c r="EY27" s="277"/>
      <c r="EZ27" s="277"/>
      <c r="FA27" s="277"/>
      <c r="FB27" s="277"/>
      <c r="FC27" s="277"/>
      <c r="FD27" s="277"/>
      <c r="FE27" s="277"/>
      <c r="FF27" s="277"/>
      <c r="FG27" s="277"/>
      <c r="FH27" s="277"/>
      <c r="FI27" s="277"/>
      <c r="FJ27" s="277"/>
      <c r="FK27" s="277"/>
      <c r="FL27" s="277"/>
      <c r="FM27" s="277"/>
      <c r="FN27" s="277"/>
      <c r="FO27" s="277"/>
      <c r="FP27" s="277"/>
      <c r="FQ27" s="277"/>
      <c r="FR27" s="277"/>
      <c r="FS27" s="277"/>
      <c r="FT27" s="277"/>
      <c r="FU27" s="277"/>
      <c r="FV27" s="277"/>
      <c r="FW27" s="277"/>
      <c r="FX27" s="277"/>
      <c r="FY27" s="277"/>
      <c r="FZ27" s="277"/>
      <c r="GA27" s="277"/>
      <c r="GB27" s="277"/>
      <c r="GC27" s="277"/>
      <c r="GD27" s="277"/>
      <c r="GE27" s="277"/>
      <c r="GF27" s="277"/>
      <c r="GG27" s="277"/>
      <c r="GH27" s="277"/>
      <c r="GI27" s="277"/>
      <c r="GJ27" s="277"/>
      <c r="GK27" s="277"/>
      <c r="GL27" s="277"/>
      <c r="GM27" s="277"/>
      <c r="GN27" s="277"/>
      <c r="GO27" s="277"/>
      <c r="GP27" s="277"/>
      <c r="GQ27" s="277"/>
      <c r="GR27" s="277"/>
      <c r="GS27" s="277"/>
      <c r="GT27" s="277"/>
      <c r="GU27" s="277"/>
      <c r="GV27" s="277"/>
      <c r="GW27" s="277"/>
      <c r="GX27" s="277"/>
      <c r="GY27" s="277"/>
      <c r="GZ27" s="277"/>
      <c r="HA27" s="277"/>
      <c r="HB27" s="277"/>
      <c r="HC27" s="277"/>
      <c r="HD27" s="277"/>
    </row>
    <row r="28" spans="1:212" s="732" customFormat="1" x14ac:dyDescent="0.25">
      <c r="A28" s="52" t="str">
        <f>IF(COUNTBLANK(B28)=1," ",COUNTA($B$12:B28))</f>
        <v xml:space="preserve"> </v>
      </c>
      <c r="B28" s="294"/>
      <c r="C28" s="276" t="s">
        <v>175</v>
      </c>
      <c r="D28" s="294" t="s">
        <v>23</v>
      </c>
      <c r="E28" s="34">
        <f>ROUNDUP(E25*F28,2)</f>
        <v>304.5</v>
      </c>
      <c r="F28" s="270">
        <v>5</v>
      </c>
      <c r="G28" s="211"/>
      <c r="H28" s="211"/>
      <c r="I28" s="211"/>
      <c r="J28" s="211"/>
      <c r="K28" s="211"/>
      <c r="L28" s="534"/>
      <c r="M28" s="534"/>
      <c r="N28" s="534"/>
      <c r="O28" s="534"/>
      <c r="P28" s="534"/>
      <c r="Q28" s="534"/>
    </row>
    <row r="29" spans="1:212" s="732" customFormat="1" ht="14.25" x14ac:dyDescent="0.25">
      <c r="A29" s="52" t="str">
        <f>IF(COUNTBLANK(B29)=1," ",COUNTA($B$12:B29))</f>
        <v xml:space="preserve"> </v>
      </c>
      <c r="B29" s="294"/>
      <c r="C29" s="276" t="s">
        <v>174</v>
      </c>
      <c r="D29" s="294" t="s">
        <v>23</v>
      </c>
      <c r="E29" s="34">
        <f>ROUNDUP(E25*F29,2)</f>
        <v>18.27</v>
      </c>
      <c r="F29" s="270">
        <v>0.3</v>
      </c>
      <c r="G29" s="211"/>
      <c r="H29" s="211"/>
      <c r="I29" s="211"/>
      <c r="J29" s="211"/>
      <c r="K29" s="211"/>
      <c r="L29" s="534"/>
      <c r="M29" s="534"/>
      <c r="N29" s="534"/>
      <c r="O29" s="534"/>
      <c r="P29" s="534"/>
      <c r="Q29" s="534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7"/>
      <c r="AQ29" s="277"/>
      <c r="AR29" s="277"/>
      <c r="AS29" s="277"/>
      <c r="AT29" s="277"/>
      <c r="AU29" s="277"/>
      <c r="AV29" s="277"/>
      <c r="AW29" s="277"/>
      <c r="AX29" s="277"/>
      <c r="AY29" s="277"/>
      <c r="AZ29" s="277"/>
      <c r="BA29" s="277"/>
      <c r="BB29" s="277"/>
      <c r="BC29" s="277"/>
      <c r="BD29" s="277"/>
      <c r="BE29" s="277"/>
      <c r="BF29" s="277"/>
      <c r="BG29" s="277"/>
      <c r="BH29" s="277"/>
      <c r="BI29" s="277"/>
      <c r="BJ29" s="277"/>
      <c r="BK29" s="277"/>
      <c r="BL29" s="277"/>
      <c r="BM29" s="277"/>
      <c r="BN29" s="277"/>
      <c r="BO29" s="277"/>
      <c r="BP29" s="277"/>
      <c r="BQ29" s="277"/>
      <c r="BR29" s="277"/>
      <c r="BS29" s="277"/>
      <c r="BT29" s="277"/>
      <c r="BU29" s="277"/>
      <c r="BV29" s="277"/>
      <c r="BW29" s="277"/>
      <c r="BX29" s="277"/>
      <c r="BY29" s="277"/>
      <c r="BZ29" s="277"/>
      <c r="CA29" s="277"/>
      <c r="CB29" s="277"/>
      <c r="CC29" s="277"/>
      <c r="CD29" s="277"/>
      <c r="CE29" s="277"/>
      <c r="CF29" s="277"/>
      <c r="CG29" s="277"/>
      <c r="CH29" s="277"/>
      <c r="CI29" s="277"/>
      <c r="CJ29" s="277"/>
      <c r="CK29" s="277"/>
      <c r="CL29" s="277"/>
      <c r="CM29" s="277"/>
      <c r="CN29" s="277"/>
      <c r="CO29" s="277"/>
      <c r="CP29" s="277"/>
      <c r="CQ29" s="277"/>
      <c r="CR29" s="277"/>
      <c r="CS29" s="277"/>
      <c r="CT29" s="277"/>
      <c r="CU29" s="277"/>
      <c r="CV29" s="277"/>
      <c r="CW29" s="277"/>
      <c r="CX29" s="277"/>
      <c r="CY29" s="277"/>
      <c r="CZ29" s="277"/>
      <c r="DA29" s="277"/>
      <c r="DB29" s="277"/>
      <c r="DC29" s="277"/>
      <c r="DD29" s="277"/>
      <c r="DE29" s="277"/>
      <c r="DF29" s="277"/>
      <c r="DG29" s="277"/>
      <c r="DH29" s="277"/>
      <c r="DI29" s="277"/>
      <c r="DJ29" s="277"/>
      <c r="DK29" s="277"/>
      <c r="DL29" s="277"/>
      <c r="DM29" s="277"/>
      <c r="DN29" s="277"/>
      <c r="DO29" s="277"/>
      <c r="DP29" s="277"/>
      <c r="DQ29" s="277"/>
      <c r="DR29" s="277"/>
      <c r="DS29" s="277"/>
      <c r="DT29" s="277"/>
      <c r="DU29" s="277"/>
      <c r="DV29" s="277"/>
      <c r="DW29" s="277"/>
      <c r="DX29" s="277"/>
      <c r="DY29" s="277"/>
      <c r="DZ29" s="277"/>
      <c r="EA29" s="277"/>
      <c r="EB29" s="277"/>
      <c r="EC29" s="277"/>
      <c r="ED29" s="277"/>
      <c r="EE29" s="277"/>
      <c r="EF29" s="277"/>
      <c r="EG29" s="277"/>
      <c r="EH29" s="277"/>
      <c r="EI29" s="277"/>
      <c r="EJ29" s="277"/>
      <c r="EK29" s="277"/>
      <c r="EL29" s="277"/>
      <c r="EM29" s="277"/>
      <c r="EN29" s="277"/>
      <c r="EO29" s="277"/>
      <c r="EP29" s="277"/>
      <c r="EQ29" s="277"/>
      <c r="ER29" s="277"/>
      <c r="ES29" s="277"/>
      <c r="ET29" s="277"/>
      <c r="EU29" s="277"/>
      <c r="EV29" s="277"/>
      <c r="EW29" s="277"/>
      <c r="EX29" s="277"/>
      <c r="EY29" s="277"/>
      <c r="EZ29" s="277"/>
      <c r="FA29" s="277"/>
      <c r="FB29" s="277"/>
      <c r="FC29" s="277"/>
      <c r="FD29" s="277"/>
      <c r="FE29" s="277"/>
      <c r="FF29" s="277"/>
      <c r="FG29" s="277"/>
      <c r="FH29" s="277"/>
      <c r="FI29" s="277"/>
      <c r="FJ29" s="277"/>
      <c r="FK29" s="277"/>
      <c r="FL29" s="277"/>
      <c r="FM29" s="277"/>
      <c r="FN29" s="277"/>
      <c r="FO29" s="277"/>
      <c r="FP29" s="277"/>
      <c r="FQ29" s="277"/>
      <c r="FR29" s="277"/>
      <c r="FS29" s="277"/>
      <c r="FT29" s="277"/>
      <c r="FU29" s="277"/>
      <c r="FV29" s="277"/>
      <c r="FW29" s="277"/>
      <c r="FX29" s="277"/>
      <c r="FY29" s="277"/>
      <c r="FZ29" s="277"/>
      <c r="GA29" s="277"/>
      <c r="GB29" s="277"/>
      <c r="GC29" s="277"/>
      <c r="GD29" s="277"/>
      <c r="GE29" s="277"/>
      <c r="GF29" s="277"/>
      <c r="GG29" s="277"/>
      <c r="GH29" s="277"/>
      <c r="GI29" s="277"/>
      <c r="GJ29" s="277"/>
      <c r="GK29" s="277"/>
      <c r="GL29" s="277"/>
      <c r="GM29" s="277"/>
      <c r="GN29" s="277"/>
      <c r="GO29" s="277"/>
      <c r="GP29" s="277"/>
      <c r="GQ29" s="277"/>
      <c r="GR29" s="277"/>
      <c r="GS29" s="277"/>
      <c r="GT29" s="277"/>
      <c r="GU29" s="277"/>
      <c r="GV29" s="277"/>
      <c r="GW29" s="277"/>
      <c r="GX29" s="277"/>
      <c r="GY29" s="277"/>
      <c r="GZ29" s="277"/>
      <c r="HA29" s="277"/>
      <c r="HB29" s="277"/>
      <c r="HC29" s="277"/>
      <c r="HD29" s="277"/>
    </row>
    <row r="30" spans="1:212" s="732" customFormat="1" x14ac:dyDescent="0.25">
      <c r="A30" s="52" t="str">
        <f>IF(COUNTBLANK(B30)=1," ",COUNTA($B$12:B30))</f>
        <v xml:space="preserve"> </v>
      </c>
      <c r="B30" s="294"/>
      <c r="C30" s="14" t="s">
        <v>39</v>
      </c>
      <c r="D30" s="57" t="s">
        <v>23</v>
      </c>
      <c r="E30" s="34">
        <f>ROUNDUP(E25*F30,2)</f>
        <v>36.54</v>
      </c>
      <c r="F30" s="34">
        <v>0.6</v>
      </c>
      <c r="G30" s="211"/>
      <c r="H30" s="211"/>
      <c r="I30" s="211"/>
      <c r="J30" s="211"/>
      <c r="K30" s="211"/>
      <c r="L30" s="534"/>
      <c r="M30" s="534"/>
      <c r="N30" s="534"/>
      <c r="O30" s="534"/>
      <c r="P30" s="534"/>
      <c r="Q30" s="534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</row>
    <row r="31" spans="1:212" s="732" customFormat="1" x14ac:dyDescent="0.25">
      <c r="A31" s="52" t="str">
        <f>IF(COUNTBLANK(B31)=1," ",COUNTA($B$12:B31))</f>
        <v xml:space="preserve"> </v>
      </c>
      <c r="B31" s="294"/>
      <c r="C31" s="283" t="s">
        <v>38</v>
      </c>
      <c r="D31" s="294" t="s">
        <v>211</v>
      </c>
      <c r="E31" s="34">
        <f>ROUNDUP(E25*F31,0)</f>
        <v>6</v>
      </c>
      <c r="F31" s="270">
        <v>0.09</v>
      </c>
      <c r="G31" s="60"/>
      <c r="H31" s="60"/>
      <c r="I31" s="60"/>
      <c r="J31" s="60"/>
      <c r="K31" s="60"/>
      <c r="L31" s="534"/>
      <c r="M31" s="534"/>
      <c r="N31" s="534"/>
      <c r="O31" s="534"/>
      <c r="P31" s="534"/>
      <c r="Q31" s="534"/>
    </row>
    <row r="32" spans="1:212" s="36" customFormat="1" ht="22.5" x14ac:dyDescent="0.25">
      <c r="A32" s="52" t="str">
        <f>IF(COUNTBLANK(B32)=1," ",COUNTA($B$12:B32))</f>
        <v xml:space="preserve"> </v>
      </c>
      <c r="B32" s="135"/>
      <c r="C32" s="464" t="s">
        <v>40</v>
      </c>
      <c r="D32" s="464"/>
      <c r="E32" s="464"/>
      <c r="F32" s="135"/>
      <c r="G32" s="135"/>
      <c r="H32" s="60"/>
      <c r="I32" s="135"/>
      <c r="J32" s="135"/>
      <c r="K32" s="135"/>
      <c r="L32" s="534"/>
      <c r="M32" s="534"/>
      <c r="N32" s="534"/>
      <c r="O32" s="534"/>
      <c r="P32" s="534"/>
      <c r="Q32" s="534"/>
    </row>
    <row r="33" spans="1:212" s="732" customFormat="1" x14ac:dyDescent="0.25">
      <c r="A33" s="52">
        <f>IF(COUNTBLANK(B33)=1," ",COUNTA($B$12:B33))</f>
        <v>9</v>
      </c>
      <c r="B33" s="288" t="s">
        <v>14</v>
      </c>
      <c r="C33" s="297" t="s">
        <v>219</v>
      </c>
      <c r="D33" s="295" t="s">
        <v>17</v>
      </c>
      <c r="E33" s="296">
        <v>55</v>
      </c>
      <c r="F33" s="299"/>
      <c r="G33" s="34"/>
      <c r="H33" s="271"/>
      <c r="I33" s="34"/>
      <c r="J33" s="444"/>
      <c r="K33" s="34"/>
      <c r="L33" s="534"/>
      <c r="M33" s="534"/>
      <c r="N33" s="534"/>
      <c r="O33" s="534"/>
      <c r="P33" s="534"/>
      <c r="Q33" s="534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298"/>
      <c r="DR33" s="298"/>
      <c r="DS33" s="298"/>
      <c r="DT33" s="298"/>
      <c r="DU33" s="298"/>
      <c r="DV33" s="298"/>
      <c r="DW33" s="298"/>
      <c r="DX33" s="298"/>
      <c r="DY33" s="298"/>
      <c r="DZ33" s="298"/>
      <c r="EA33" s="298"/>
      <c r="EB33" s="298"/>
      <c r="EC33" s="298"/>
      <c r="ED33" s="298"/>
      <c r="EE33" s="298"/>
      <c r="EF33" s="298"/>
      <c r="EG33" s="298"/>
      <c r="EH33" s="298"/>
      <c r="EI33" s="298"/>
      <c r="EJ33" s="298"/>
      <c r="EK33" s="298"/>
      <c r="EL33" s="298"/>
      <c r="EM33" s="298"/>
      <c r="EN33" s="298"/>
      <c r="EO33" s="298"/>
      <c r="EP33" s="298"/>
      <c r="EQ33" s="298"/>
      <c r="ER33" s="298"/>
      <c r="ES33" s="298"/>
      <c r="ET33" s="298"/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  <c r="FF33" s="298"/>
      <c r="FG33" s="298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298"/>
      <c r="GI33" s="298"/>
      <c r="GJ33" s="298"/>
      <c r="GK33" s="298"/>
      <c r="GL33" s="298"/>
      <c r="GM33" s="298"/>
      <c r="GN33" s="298"/>
      <c r="GO33" s="298"/>
      <c r="GP33" s="298"/>
      <c r="GQ33" s="298"/>
      <c r="GR33" s="298"/>
      <c r="GS33" s="298"/>
      <c r="GT33" s="298"/>
      <c r="GU33" s="298"/>
      <c r="GV33" s="298"/>
      <c r="GW33" s="298"/>
      <c r="GX33" s="298"/>
      <c r="GY33" s="298"/>
      <c r="GZ33" s="298"/>
      <c r="HA33" s="298"/>
      <c r="HB33" s="298"/>
      <c r="HC33" s="298"/>
      <c r="HD33" s="298"/>
    </row>
    <row r="34" spans="1:212" s="732" customFormat="1" x14ac:dyDescent="0.25">
      <c r="A34" s="52">
        <f>IF(COUNTBLANK(B34)=1," ",COUNTA($B$12:B34))</f>
        <v>10</v>
      </c>
      <c r="B34" s="288" t="s">
        <v>14</v>
      </c>
      <c r="C34" s="297" t="s">
        <v>220</v>
      </c>
      <c r="D34" s="295" t="s">
        <v>17</v>
      </c>
      <c r="E34" s="296">
        <f>E33</f>
        <v>55</v>
      </c>
      <c r="F34" s="299"/>
      <c r="G34" s="509"/>
      <c r="H34" s="271"/>
      <c r="I34" s="509"/>
      <c r="J34" s="510"/>
      <c r="K34" s="509"/>
      <c r="L34" s="534"/>
      <c r="M34" s="534"/>
      <c r="N34" s="534"/>
      <c r="O34" s="534"/>
      <c r="P34" s="534"/>
      <c r="Q34" s="534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49"/>
      <c r="CA34" s="249"/>
      <c r="CB34" s="249"/>
      <c r="CC34" s="249"/>
      <c r="CD34" s="249"/>
      <c r="CE34" s="249"/>
      <c r="CF34" s="249"/>
      <c r="CG34" s="249"/>
      <c r="CH34" s="249"/>
      <c r="CI34" s="249"/>
      <c r="CJ34" s="249"/>
      <c r="CK34" s="249"/>
      <c r="CL34" s="249"/>
      <c r="CM34" s="249"/>
      <c r="CN34" s="249"/>
      <c r="CO34" s="249"/>
      <c r="CP34" s="249"/>
      <c r="CQ34" s="249"/>
      <c r="CR34" s="249"/>
      <c r="CS34" s="249"/>
      <c r="CT34" s="249"/>
      <c r="CU34" s="249"/>
      <c r="CV34" s="249"/>
      <c r="CW34" s="249"/>
      <c r="CX34" s="249"/>
      <c r="CY34" s="249"/>
      <c r="CZ34" s="249"/>
      <c r="DA34" s="249"/>
      <c r="DB34" s="249"/>
      <c r="DC34" s="249"/>
      <c r="DD34" s="249"/>
      <c r="DE34" s="249"/>
      <c r="DF34" s="249"/>
      <c r="DG34" s="249"/>
      <c r="DH34" s="249"/>
      <c r="DI34" s="249"/>
      <c r="DJ34" s="249"/>
      <c r="DK34" s="249"/>
      <c r="DL34" s="249"/>
      <c r="DM34" s="249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49"/>
      <c r="FE34" s="249"/>
      <c r="FF34" s="249"/>
      <c r="FG34" s="249"/>
      <c r="FH34" s="249"/>
      <c r="FI34" s="249"/>
      <c r="FJ34" s="249"/>
      <c r="FK34" s="249"/>
      <c r="FL34" s="249"/>
      <c r="FM34" s="249"/>
      <c r="FN34" s="249"/>
      <c r="FO34" s="249"/>
      <c r="FP34" s="249"/>
      <c r="FQ34" s="249"/>
      <c r="FR34" s="249"/>
      <c r="FS34" s="249"/>
      <c r="FT34" s="249"/>
      <c r="FU34" s="249"/>
      <c r="FV34" s="249"/>
      <c r="FW34" s="249"/>
      <c r="FX34" s="249"/>
      <c r="FY34" s="249"/>
      <c r="FZ34" s="249"/>
      <c r="GA34" s="249"/>
      <c r="GB34" s="249"/>
      <c r="GC34" s="249"/>
      <c r="GD34" s="249"/>
      <c r="GE34" s="249"/>
      <c r="GF34" s="249"/>
      <c r="GG34" s="249"/>
      <c r="GH34" s="249"/>
      <c r="GI34" s="249"/>
      <c r="GJ34" s="249"/>
      <c r="GK34" s="249"/>
      <c r="GL34" s="249"/>
      <c r="GM34" s="249"/>
      <c r="GN34" s="249"/>
      <c r="GO34" s="249"/>
      <c r="GP34" s="249"/>
      <c r="GQ34" s="249"/>
      <c r="GR34" s="249"/>
      <c r="GS34" s="249"/>
      <c r="GT34" s="249"/>
      <c r="GU34" s="249"/>
      <c r="GV34" s="249"/>
      <c r="GW34" s="249"/>
      <c r="GX34" s="249"/>
      <c r="GY34" s="249"/>
      <c r="GZ34" s="249"/>
      <c r="HA34" s="249"/>
      <c r="HB34" s="249"/>
      <c r="HC34" s="249"/>
      <c r="HD34" s="249"/>
    </row>
    <row r="35" spans="1:212" s="732" customFormat="1" x14ac:dyDescent="0.25">
      <c r="A35" s="52" t="str">
        <f>IF(COUNTBLANK(B35)=1," ",COUNTA($B$12:B35))</f>
        <v xml:space="preserve"> </v>
      </c>
      <c r="B35" s="300"/>
      <c r="C35" s="601" t="s">
        <v>221</v>
      </c>
      <c r="D35" s="290" t="s">
        <v>26</v>
      </c>
      <c r="E35" s="290">
        <f>E34*F35</f>
        <v>6.05</v>
      </c>
      <c r="F35" s="290">
        <v>0.11</v>
      </c>
      <c r="G35" s="509"/>
      <c r="H35" s="509"/>
      <c r="I35" s="509"/>
      <c r="J35" s="511"/>
      <c r="K35" s="509"/>
      <c r="L35" s="534"/>
      <c r="M35" s="534"/>
      <c r="N35" s="534"/>
      <c r="O35" s="534"/>
      <c r="P35" s="534"/>
      <c r="Q35" s="534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249"/>
      <c r="FP35" s="249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  <c r="GD35" s="249"/>
      <c r="GE35" s="249"/>
      <c r="GF35" s="249"/>
      <c r="GG35" s="249"/>
      <c r="GH35" s="249"/>
      <c r="GI35" s="249"/>
      <c r="GJ35" s="249"/>
      <c r="GK35" s="249"/>
      <c r="GL35" s="249"/>
      <c r="GM35" s="249"/>
      <c r="GN35" s="249"/>
      <c r="GO35" s="249"/>
      <c r="GP35" s="249"/>
      <c r="GQ35" s="249"/>
      <c r="GR35" s="249"/>
      <c r="GS35" s="249"/>
      <c r="GT35" s="249"/>
      <c r="GU35" s="249"/>
      <c r="GV35" s="249"/>
      <c r="GW35" s="249"/>
      <c r="GX35" s="249"/>
      <c r="GY35" s="249"/>
      <c r="GZ35" s="249"/>
      <c r="HA35" s="249"/>
      <c r="HB35" s="249"/>
      <c r="HC35" s="249"/>
      <c r="HD35" s="249"/>
    </row>
    <row r="36" spans="1:212" s="732" customFormat="1" x14ac:dyDescent="0.25">
      <c r="A36" s="52">
        <f>IF(COUNTBLANK(B36)=1," ",COUNTA($B$12:B36))</f>
        <v>11</v>
      </c>
      <c r="B36" s="288" t="s">
        <v>14</v>
      </c>
      <c r="C36" s="600" t="s">
        <v>222</v>
      </c>
      <c r="D36" s="295" t="s">
        <v>17</v>
      </c>
      <c r="E36" s="296">
        <f>E34</f>
        <v>55</v>
      </c>
      <c r="F36" s="299"/>
      <c r="G36" s="509"/>
      <c r="H36" s="271"/>
      <c r="I36" s="509"/>
      <c r="J36" s="510"/>
      <c r="K36" s="509"/>
      <c r="L36" s="534"/>
      <c r="M36" s="534"/>
      <c r="N36" s="534"/>
      <c r="O36" s="534"/>
      <c r="P36" s="534"/>
      <c r="Q36" s="534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 s="249"/>
      <c r="HA36" s="249"/>
      <c r="HB36" s="249"/>
      <c r="HC36" s="249"/>
      <c r="HD36" s="249"/>
    </row>
    <row r="37" spans="1:212" s="732" customFormat="1" x14ac:dyDescent="0.25">
      <c r="A37" s="52" t="str">
        <f>IF(COUNTBLANK(B37)=1," ",COUNTA($B$12:B37))</f>
        <v xml:space="preserve"> </v>
      </c>
      <c r="B37" s="300"/>
      <c r="C37" s="601" t="s">
        <v>221</v>
      </c>
      <c r="D37" s="290" t="s">
        <v>26</v>
      </c>
      <c r="E37" s="290">
        <f>E36*F37</f>
        <v>2.75</v>
      </c>
      <c r="F37" s="290">
        <v>0.05</v>
      </c>
      <c r="G37" s="509"/>
      <c r="H37" s="509"/>
      <c r="I37" s="509"/>
      <c r="J37" s="511"/>
      <c r="K37" s="509"/>
      <c r="L37" s="534"/>
      <c r="M37" s="534"/>
      <c r="N37" s="534"/>
      <c r="O37" s="534"/>
      <c r="P37" s="534"/>
      <c r="Q37" s="534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  <c r="GV37" s="249"/>
      <c r="GW37" s="249"/>
      <c r="GX37" s="249"/>
      <c r="GY37" s="249"/>
      <c r="GZ37" s="249"/>
      <c r="HA37" s="249"/>
      <c r="HB37" s="249"/>
      <c r="HC37" s="249"/>
      <c r="HD37" s="249"/>
    </row>
    <row r="38" spans="1:212" s="732" customFormat="1" x14ac:dyDescent="0.25">
      <c r="A38" s="52">
        <f>IF(COUNTBLANK(B38)=1," ",COUNTA($B$12:B38))</f>
        <v>12</v>
      </c>
      <c r="B38" s="288" t="s">
        <v>14</v>
      </c>
      <c r="C38" s="601" t="s">
        <v>223</v>
      </c>
      <c r="D38" s="295" t="s">
        <v>17</v>
      </c>
      <c r="E38" s="296">
        <f>E36</f>
        <v>55</v>
      </c>
      <c r="F38" s="299"/>
      <c r="G38" s="509"/>
      <c r="H38" s="271"/>
      <c r="I38" s="509"/>
      <c r="J38" s="510"/>
      <c r="K38" s="509"/>
      <c r="L38" s="534"/>
      <c r="M38" s="534"/>
      <c r="N38" s="534"/>
      <c r="O38" s="534"/>
      <c r="P38" s="534"/>
      <c r="Q38" s="534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49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49"/>
      <c r="DY38" s="249"/>
      <c r="DZ38" s="249"/>
      <c r="EA38" s="249"/>
      <c r="EB38" s="249"/>
      <c r="EC38" s="249"/>
      <c r="ED38" s="249"/>
      <c r="EE38" s="249"/>
      <c r="EF38" s="249"/>
      <c r="EG38" s="249"/>
      <c r="EH38" s="249"/>
      <c r="EI38" s="249"/>
      <c r="EJ38" s="249"/>
      <c r="EK38" s="249"/>
      <c r="EL38" s="249"/>
      <c r="EM38" s="249"/>
      <c r="EN38" s="249"/>
      <c r="EO38" s="249"/>
      <c r="EP38" s="249"/>
      <c r="EQ38" s="249"/>
      <c r="ER38" s="249"/>
      <c r="ES38" s="249"/>
      <c r="ET38" s="249"/>
      <c r="EU38" s="249"/>
      <c r="EV38" s="249"/>
      <c r="EW38" s="249"/>
      <c r="EX38" s="249"/>
      <c r="EY38" s="249"/>
      <c r="EZ38" s="249"/>
      <c r="FA38" s="249"/>
      <c r="FB38" s="249"/>
      <c r="FC38" s="249"/>
      <c r="FD38" s="249"/>
      <c r="FE38" s="249"/>
      <c r="FF38" s="249"/>
      <c r="FG38" s="249"/>
      <c r="FH38" s="249"/>
      <c r="FI38" s="249"/>
      <c r="FJ38" s="249"/>
      <c r="FK38" s="249"/>
      <c r="FL38" s="249"/>
      <c r="FM38" s="249"/>
      <c r="FN38" s="249"/>
      <c r="FO38" s="249"/>
      <c r="FP38" s="249"/>
      <c r="FQ38" s="249"/>
      <c r="FR38" s="249"/>
      <c r="FS38" s="249"/>
      <c r="FT38" s="249"/>
      <c r="FU38" s="249"/>
      <c r="FV38" s="249"/>
      <c r="FW38" s="249"/>
      <c r="FX38" s="249"/>
      <c r="FY38" s="249"/>
      <c r="FZ38" s="249"/>
      <c r="GA38" s="249"/>
      <c r="GB38" s="249"/>
      <c r="GC38" s="249"/>
      <c r="GD38" s="249"/>
      <c r="GE38" s="249"/>
      <c r="GF38" s="249"/>
      <c r="GG38" s="249"/>
      <c r="GH38" s="249"/>
      <c r="GI38" s="249"/>
      <c r="GJ38" s="249"/>
      <c r="GK38" s="249"/>
      <c r="GL38" s="249"/>
      <c r="GM38" s="249"/>
      <c r="GN38" s="249"/>
      <c r="GO38" s="249"/>
      <c r="GP38" s="249"/>
      <c r="GQ38" s="249"/>
      <c r="GR38" s="249"/>
      <c r="GS38" s="249"/>
      <c r="GT38" s="249"/>
      <c r="GU38" s="249"/>
      <c r="GV38" s="249"/>
      <c r="GW38" s="249"/>
      <c r="GX38" s="249"/>
      <c r="GY38" s="249"/>
      <c r="GZ38" s="249"/>
      <c r="HA38" s="249"/>
      <c r="HB38" s="249"/>
      <c r="HC38" s="249"/>
      <c r="HD38" s="249"/>
    </row>
    <row r="39" spans="1:212" s="732" customFormat="1" x14ac:dyDescent="0.25">
      <c r="A39" s="52" t="str">
        <f>IF(COUNTBLANK(B39)=1," ",COUNTA($B$12:B39))</f>
        <v xml:space="preserve"> </v>
      </c>
      <c r="B39" s="300"/>
      <c r="C39" s="297" t="s">
        <v>224</v>
      </c>
      <c r="D39" s="290" t="s">
        <v>26</v>
      </c>
      <c r="E39" s="290">
        <f>E38*F39</f>
        <v>2.75</v>
      </c>
      <c r="F39" s="290">
        <v>0.05</v>
      </c>
      <c r="G39" s="509"/>
      <c r="H39" s="509"/>
      <c r="I39" s="509"/>
      <c r="J39" s="511"/>
      <c r="K39" s="509"/>
      <c r="L39" s="534"/>
      <c r="M39" s="534"/>
      <c r="N39" s="534"/>
      <c r="O39" s="534"/>
      <c r="P39" s="534"/>
      <c r="Q39" s="534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49"/>
      <c r="CU39" s="249"/>
      <c r="CV39" s="24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49"/>
      <c r="DK39" s="249"/>
      <c r="DL39" s="249"/>
      <c r="DM39" s="249"/>
      <c r="DN39" s="249"/>
      <c r="DO39" s="249"/>
      <c r="DP39" s="249"/>
      <c r="DQ39" s="249"/>
      <c r="DR39" s="249"/>
      <c r="DS39" s="249"/>
      <c r="DT39" s="249"/>
      <c r="DU39" s="249"/>
      <c r="DV39" s="249"/>
      <c r="DW39" s="249"/>
      <c r="DX39" s="249"/>
      <c r="DY39" s="249"/>
      <c r="DZ39" s="249"/>
      <c r="EA39" s="249"/>
      <c r="EB39" s="249"/>
      <c r="EC39" s="249"/>
      <c r="ED39" s="249"/>
      <c r="EE39" s="249"/>
      <c r="EF39" s="249"/>
      <c r="EG39" s="249"/>
      <c r="EH39" s="249"/>
      <c r="EI39" s="249"/>
      <c r="EJ39" s="249"/>
      <c r="EK39" s="249"/>
      <c r="EL39" s="249"/>
      <c r="EM39" s="249"/>
      <c r="EN39" s="249"/>
      <c r="EO39" s="249"/>
      <c r="EP39" s="249"/>
      <c r="EQ39" s="249"/>
      <c r="ER39" s="249"/>
      <c r="ES39" s="249"/>
      <c r="ET39" s="249"/>
      <c r="EU39" s="249"/>
      <c r="EV39" s="249"/>
      <c r="EW39" s="249"/>
      <c r="EX39" s="249"/>
      <c r="EY39" s="249"/>
      <c r="EZ39" s="249"/>
      <c r="FA39" s="249"/>
      <c r="FB39" s="249"/>
      <c r="FC39" s="249"/>
      <c r="FD39" s="249"/>
      <c r="FE39" s="249"/>
      <c r="FF39" s="249"/>
      <c r="FG39" s="249"/>
      <c r="FH39" s="249"/>
      <c r="FI39" s="249"/>
      <c r="FJ39" s="249"/>
      <c r="FK39" s="249"/>
      <c r="FL39" s="249"/>
      <c r="FM39" s="249"/>
      <c r="FN39" s="249"/>
      <c r="FO39" s="249"/>
      <c r="FP39" s="249"/>
      <c r="FQ39" s="249"/>
      <c r="FR39" s="249"/>
      <c r="FS39" s="249"/>
      <c r="FT39" s="249"/>
      <c r="FU39" s="249"/>
      <c r="FV39" s="249"/>
      <c r="FW39" s="249"/>
      <c r="FX39" s="249"/>
      <c r="FY39" s="249"/>
      <c r="FZ39" s="249"/>
      <c r="GA39" s="249"/>
      <c r="GB39" s="249"/>
      <c r="GC39" s="249"/>
      <c r="GD39" s="249"/>
      <c r="GE39" s="249"/>
      <c r="GF39" s="249"/>
      <c r="GG39" s="249"/>
      <c r="GH39" s="249"/>
      <c r="GI39" s="249"/>
      <c r="GJ39" s="249"/>
      <c r="GK39" s="249"/>
      <c r="GL39" s="249"/>
      <c r="GM39" s="249"/>
      <c r="GN39" s="249"/>
      <c r="GO39" s="249"/>
      <c r="GP39" s="249"/>
      <c r="GQ39" s="249"/>
      <c r="GR39" s="249"/>
      <c r="GS39" s="249"/>
      <c r="GT39" s="249"/>
      <c r="GU39" s="249"/>
      <c r="GV39" s="249"/>
      <c r="GW39" s="249"/>
      <c r="GX39" s="249"/>
      <c r="GY39" s="249"/>
      <c r="GZ39" s="249"/>
      <c r="HA39" s="249"/>
      <c r="HB39" s="249"/>
      <c r="HC39" s="249"/>
      <c r="HD39" s="249"/>
    </row>
    <row r="40" spans="1:212" s="732" customFormat="1" x14ac:dyDescent="0.25">
      <c r="A40" s="52">
        <f>IF(COUNTBLANK(B40)=1," ",COUNTA($B$12:B40))</f>
        <v>13</v>
      </c>
      <c r="B40" s="288" t="s">
        <v>14</v>
      </c>
      <c r="C40" s="601" t="s">
        <v>225</v>
      </c>
      <c r="D40" s="301" t="s">
        <v>17</v>
      </c>
      <c r="E40" s="296">
        <f>E38</f>
        <v>55</v>
      </c>
      <c r="F40" s="290"/>
      <c r="G40" s="34"/>
      <c r="H40" s="271"/>
      <c r="I40" s="10"/>
      <c r="J40" s="58"/>
      <c r="K40" s="509"/>
      <c r="L40" s="534"/>
      <c r="M40" s="534"/>
      <c r="N40" s="534"/>
      <c r="O40" s="534"/>
      <c r="P40" s="534"/>
      <c r="Q40" s="534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49"/>
      <c r="FG40" s="249"/>
      <c r="FH40" s="249"/>
      <c r="FI40" s="249"/>
      <c r="FJ40" s="249"/>
      <c r="FK40" s="249"/>
      <c r="FL40" s="249"/>
      <c r="FM40" s="249"/>
      <c r="FN40" s="249"/>
      <c r="FO40" s="249"/>
      <c r="FP40" s="249"/>
      <c r="FQ40" s="249"/>
      <c r="FR40" s="249"/>
      <c r="FS40" s="249"/>
      <c r="FT40" s="249"/>
      <c r="FU40" s="249"/>
      <c r="FV40" s="249"/>
      <c r="FW40" s="249"/>
      <c r="FX40" s="249"/>
      <c r="FY40" s="249"/>
      <c r="FZ40" s="249"/>
      <c r="GA40" s="249"/>
      <c r="GB40" s="249"/>
      <c r="GC40" s="249"/>
      <c r="GD40" s="249"/>
      <c r="GE40" s="249"/>
      <c r="GF40" s="249"/>
      <c r="GG40" s="249"/>
      <c r="GH40" s="249"/>
      <c r="GI40" s="249"/>
      <c r="GJ40" s="249"/>
      <c r="GK40" s="249"/>
      <c r="GL40" s="249"/>
      <c r="GM40" s="249"/>
      <c r="GN40" s="249"/>
      <c r="GO40" s="249"/>
      <c r="GP40" s="249"/>
      <c r="GQ40" s="249"/>
      <c r="GR40" s="249"/>
      <c r="GS40" s="249"/>
      <c r="GT40" s="249"/>
      <c r="GU40" s="249"/>
      <c r="GV40" s="249"/>
      <c r="GW40" s="249"/>
      <c r="GX40" s="249"/>
      <c r="GY40" s="249"/>
      <c r="GZ40" s="249"/>
      <c r="HA40" s="249"/>
      <c r="HB40" s="249"/>
      <c r="HC40" s="249"/>
      <c r="HD40" s="249"/>
    </row>
    <row r="41" spans="1:212" s="732" customFormat="1" x14ac:dyDescent="0.25">
      <c r="A41" s="52" t="str">
        <f>IF(COUNTBLANK(B41)=1," ",COUNTA($B$12:B41))</f>
        <v xml:space="preserve"> </v>
      </c>
      <c r="B41" s="300"/>
      <c r="C41" s="297" t="s">
        <v>226</v>
      </c>
      <c r="D41" s="290" t="s">
        <v>17</v>
      </c>
      <c r="E41" s="290">
        <f>E40*F41</f>
        <v>57.75</v>
      </c>
      <c r="F41" s="290">
        <v>1.05</v>
      </c>
      <c r="G41" s="34"/>
      <c r="H41" s="10"/>
      <c r="I41" s="10"/>
      <c r="J41" s="10"/>
      <c r="K41" s="10"/>
      <c r="L41" s="534"/>
      <c r="M41" s="534"/>
      <c r="N41" s="534"/>
      <c r="O41" s="534"/>
      <c r="P41" s="534"/>
      <c r="Q41" s="534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249"/>
      <c r="CI41" s="249"/>
      <c r="CJ41" s="249"/>
      <c r="CK41" s="249"/>
      <c r="CL41" s="249"/>
      <c r="CM41" s="249"/>
      <c r="CN41" s="249"/>
      <c r="CO41" s="249"/>
      <c r="CP41" s="249"/>
      <c r="CQ41" s="249"/>
      <c r="CR41" s="249"/>
      <c r="CS41" s="249"/>
      <c r="CT41" s="249"/>
      <c r="CU41" s="249"/>
      <c r="CV41" s="249"/>
      <c r="CW41" s="249"/>
      <c r="CX41" s="249"/>
      <c r="CY41" s="249"/>
      <c r="CZ41" s="249"/>
      <c r="DA41" s="249"/>
      <c r="DB41" s="249"/>
      <c r="DC41" s="249"/>
      <c r="DD41" s="249"/>
      <c r="DE41" s="249"/>
      <c r="DF41" s="249"/>
      <c r="DG41" s="249"/>
      <c r="DH41" s="249"/>
      <c r="DI41" s="249"/>
      <c r="DJ41" s="249"/>
      <c r="DK41" s="249"/>
      <c r="DL41" s="249"/>
      <c r="DM41" s="249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49"/>
      <c r="DY41" s="249"/>
      <c r="DZ41" s="249"/>
      <c r="EA41" s="249"/>
      <c r="EB41" s="249"/>
      <c r="EC41" s="249"/>
      <c r="ED41" s="249"/>
      <c r="EE41" s="249"/>
      <c r="EF41" s="249"/>
      <c r="EG41" s="249"/>
      <c r="EH41" s="249"/>
      <c r="EI41" s="249"/>
      <c r="EJ41" s="249"/>
      <c r="EK41" s="249"/>
      <c r="EL41" s="249"/>
      <c r="EM41" s="249"/>
      <c r="EN41" s="249"/>
      <c r="EO41" s="249"/>
      <c r="EP41" s="249"/>
      <c r="EQ41" s="249"/>
      <c r="ER41" s="249"/>
      <c r="ES41" s="249"/>
      <c r="ET41" s="249"/>
      <c r="EU41" s="249"/>
      <c r="EV41" s="249"/>
      <c r="EW41" s="249"/>
      <c r="EX41" s="249"/>
      <c r="EY41" s="249"/>
      <c r="EZ41" s="249"/>
      <c r="FA41" s="249"/>
      <c r="FB41" s="249"/>
      <c r="FC41" s="249"/>
      <c r="FD41" s="249"/>
      <c r="FE41" s="249"/>
      <c r="FF41" s="249"/>
      <c r="FG41" s="249"/>
      <c r="FH41" s="249"/>
      <c r="FI41" s="249"/>
      <c r="FJ41" s="249"/>
      <c r="FK41" s="249"/>
      <c r="FL41" s="249"/>
      <c r="FM41" s="249"/>
      <c r="FN41" s="249"/>
      <c r="FO41" s="249"/>
      <c r="FP41" s="249"/>
      <c r="FQ41" s="249"/>
      <c r="FR41" s="249"/>
      <c r="FS41" s="249"/>
      <c r="FT41" s="249"/>
      <c r="FU41" s="249"/>
      <c r="FV41" s="249"/>
      <c r="FW41" s="249"/>
      <c r="FX41" s="249"/>
      <c r="FY41" s="249"/>
      <c r="FZ41" s="249"/>
      <c r="GA41" s="249"/>
      <c r="GB41" s="249"/>
      <c r="GC41" s="249"/>
      <c r="GD41" s="249"/>
      <c r="GE41" s="249"/>
      <c r="GF41" s="249"/>
      <c r="GG41" s="249"/>
      <c r="GH41" s="249"/>
      <c r="GI41" s="249"/>
      <c r="GJ41" s="249"/>
      <c r="GK41" s="249"/>
      <c r="GL41" s="249"/>
      <c r="GM41" s="249"/>
      <c r="GN41" s="249"/>
      <c r="GO41" s="249"/>
      <c r="GP41" s="249"/>
      <c r="GQ41" s="249"/>
      <c r="GR41" s="249"/>
      <c r="GS41" s="249"/>
      <c r="GT41" s="249"/>
      <c r="GU41" s="249"/>
      <c r="GV41" s="249"/>
      <c r="GW41" s="249"/>
      <c r="GX41" s="249"/>
      <c r="GY41" s="249"/>
      <c r="GZ41" s="249"/>
      <c r="HA41" s="249"/>
      <c r="HB41" s="249"/>
      <c r="HC41" s="249"/>
      <c r="HD41" s="249"/>
    </row>
    <row r="42" spans="1:212" s="732" customFormat="1" x14ac:dyDescent="0.25">
      <c r="A42" s="52" t="str">
        <f>IF(COUNTBLANK(B42)=1," ",COUNTA($B$12:B42))</f>
        <v xml:space="preserve"> </v>
      </c>
      <c r="B42" s="300"/>
      <c r="C42" s="297" t="s">
        <v>227</v>
      </c>
      <c r="D42" s="290" t="s">
        <v>26</v>
      </c>
      <c r="E42" s="291">
        <f>ROUND(E41*F42,2)</f>
        <v>1.73</v>
      </c>
      <c r="F42" s="290">
        <v>0.03</v>
      </c>
      <c r="G42" s="34"/>
      <c r="H42" s="10"/>
      <c r="I42" s="10"/>
      <c r="J42" s="10"/>
      <c r="K42" s="10"/>
      <c r="L42" s="534"/>
      <c r="M42" s="534"/>
      <c r="N42" s="534"/>
      <c r="O42" s="534"/>
      <c r="P42" s="534"/>
      <c r="Q42" s="534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49"/>
      <c r="BZ42" s="249"/>
      <c r="CA42" s="249"/>
      <c r="CB42" s="249"/>
      <c r="CC42" s="249"/>
      <c r="CD42" s="249"/>
      <c r="CE42" s="249"/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P42" s="249"/>
      <c r="CQ42" s="249"/>
      <c r="CR42" s="249"/>
      <c r="CS42" s="249"/>
      <c r="CT42" s="249"/>
      <c r="CU42" s="249"/>
      <c r="CV42" s="249"/>
      <c r="CW42" s="249"/>
      <c r="CX42" s="249"/>
      <c r="CY42" s="249"/>
      <c r="CZ42" s="249"/>
      <c r="DA42" s="249"/>
      <c r="DB42" s="249"/>
      <c r="DC42" s="249"/>
      <c r="DD42" s="249"/>
      <c r="DE42" s="249"/>
      <c r="DF42" s="249"/>
      <c r="DG42" s="249"/>
      <c r="DH42" s="249"/>
      <c r="DI42" s="249"/>
      <c r="DJ42" s="249"/>
      <c r="DK42" s="249"/>
      <c r="DL42" s="249"/>
      <c r="DM42" s="249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49"/>
      <c r="DY42" s="249"/>
      <c r="DZ42" s="249"/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M42" s="249"/>
      <c r="EN42" s="249"/>
      <c r="EO42" s="249"/>
      <c r="EP42" s="249"/>
      <c r="EQ42" s="249"/>
      <c r="ER42" s="249"/>
      <c r="ES42" s="249"/>
      <c r="ET42" s="249"/>
      <c r="EU42" s="249"/>
      <c r="EV42" s="249"/>
      <c r="EW42" s="249"/>
      <c r="EX42" s="249"/>
      <c r="EY42" s="249"/>
      <c r="EZ42" s="249"/>
      <c r="FA42" s="249"/>
      <c r="FB42" s="249"/>
      <c r="FC42" s="249"/>
      <c r="FD42" s="249"/>
      <c r="FE42" s="249"/>
      <c r="FF42" s="249"/>
      <c r="FG42" s="249"/>
      <c r="FH42" s="249"/>
      <c r="FI42" s="249"/>
      <c r="FJ42" s="249"/>
      <c r="FK42" s="249"/>
      <c r="FL42" s="249"/>
      <c r="FM42" s="249"/>
      <c r="FN42" s="249"/>
      <c r="FO42" s="249"/>
      <c r="FP42" s="249"/>
      <c r="FQ42" s="249"/>
      <c r="FR42" s="249"/>
      <c r="FS42" s="249"/>
      <c r="FT42" s="249"/>
      <c r="FU42" s="249"/>
      <c r="FV42" s="249"/>
      <c r="FW42" s="249"/>
      <c r="FX42" s="249"/>
      <c r="FY42" s="249"/>
      <c r="FZ42" s="249"/>
      <c r="GA42" s="249"/>
      <c r="GB42" s="249"/>
      <c r="GC42" s="249"/>
      <c r="GD42" s="249"/>
      <c r="GE42" s="249"/>
      <c r="GF42" s="249"/>
      <c r="GG42" s="249"/>
      <c r="GH42" s="249"/>
      <c r="GI42" s="249"/>
      <c r="GJ42" s="249"/>
      <c r="GK42" s="249"/>
      <c r="GL42" s="249"/>
      <c r="GM42" s="249"/>
      <c r="GN42" s="249"/>
      <c r="GO42" s="249"/>
      <c r="GP42" s="249"/>
      <c r="GQ42" s="249"/>
      <c r="GR42" s="249"/>
      <c r="GS42" s="249"/>
      <c r="GT42" s="249"/>
      <c r="GU42" s="249"/>
      <c r="GV42" s="249"/>
      <c r="GW42" s="249"/>
      <c r="GX42" s="249"/>
      <c r="GY42" s="249"/>
      <c r="GZ42" s="249"/>
      <c r="HA42" s="249"/>
      <c r="HB42" s="249"/>
      <c r="HC42" s="249"/>
      <c r="HD42" s="249"/>
    </row>
    <row r="43" spans="1:212" s="732" customFormat="1" x14ac:dyDescent="0.25">
      <c r="A43" s="52">
        <f>IF(COUNTBLANK(B43)=1," ",COUNTA($B$12:B43))</f>
        <v>14</v>
      </c>
      <c r="B43" s="288" t="s">
        <v>14</v>
      </c>
      <c r="C43" s="601" t="s">
        <v>230</v>
      </c>
      <c r="D43" s="301" t="s">
        <v>16</v>
      </c>
      <c r="E43" s="764">
        <v>82</v>
      </c>
      <c r="F43" s="290"/>
      <c r="G43" s="312"/>
      <c r="H43" s="271"/>
      <c r="I43" s="509"/>
      <c r="J43" s="512"/>
      <c r="K43" s="509"/>
      <c r="L43" s="534"/>
      <c r="M43" s="534"/>
      <c r="N43" s="534"/>
      <c r="O43" s="534"/>
      <c r="P43" s="534"/>
      <c r="Q43" s="534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49"/>
      <c r="BZ43" s="249"/>
      <c r="CA43" s="249"/>
      <c r="CB43" s="249"/>
      <c r="CC43" s="249"/>
      <c r="CD43" s="249"/>
      <c r="CE43" s="249"/>
      <c r="CF43" s="249"/>
      <c r="CG43" s="249"/>
      <c r="CH43" s="249"/>
      <c r="CI43" s="249"/>
      <c r="CJ43" s="249"/>
      <c r="CK43" s="249"/>
      <c r="CL43" s="249"/>
      <c r="CM43" s="249"/>
      <c r="CN43" s="249"/>
      <c r="CO43" s="249"/>
      <c r="CP43" s="249"/>
      <c r="CQ43" s="249"/>
      <c r="CR43" s="249"/>
      <c r="CS43" s="249"/>
      <c r="CT43" s="249"/>
      <c r="CU43" s="249"/>
      <c r="CV43" s="249"/>
      <c r="CW43" s="249"/>
      <c r="CX43" s="249"/>
      <c r="CY43" s="249"/>
      <c r="CZ43" s="249"/>
      <c r="DA43" s="249"/>
      <c r="DB43" s="249"/>
      <c r="DC43" s="249"/>
      <c r="DD43" s="249"/>
      <c r="DE43" s="249"/>
      <c r="DF43" s="249"/>
      <c r="DG43" s="249"/>
      <c r="DH43" s="249"/>
      <c r="DI43" s="249"/>
      <c r="DJ43" s="249"/>
      <c r="DK43" s="249"/>
      <c r="DL43" s="249"/>
      <c r="DM43" s="249"/>
      <c r="DN43" s="249"/>
      <c r="DO43" s="249"/>
      <c r="DP43" s="249"/>
      <c r="DQ43" s="249"/>
      <c r="DR43" s="249"/>
      <c r="DS43" s="249"/>
      <c r="DT43" s="249"/>
      <c r="DU43" s="249"/>
      <c r="DV43" s="249"/>
      <c r="DW43" s="249"/>
      <c r="DX43" s="249"/>
      <c r="DY43" s="249"/>
      <c r="DZ43" s="249"/>
      <c r="EA43" s="249"/>
      <c r="EB43" s="249"/>
      <c r="EC43" s="249"/>
      <c r="ED43" s="249"/>
      <c r="EE43" s="249"/>
      <c r="EF43" s="249"/>
      <c r="EG43" s="249"/>
      <c r="EH43" s="249"/>
      <c r="EI43" s="249"/>
      <c r="EJ43" s="249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49"/>
      <c r="FE43" s="249"/>
      <c r="FF43" s="249"/>
      <c r="FG43" s="249"/>
      <c r="FH43" s="249"/>
      <c r="FI43" s="249"/>
      <c r="FJ43" s="249"/>
      <c r="FK43" s="249"/>
      <c r="FL43" s="249"/>
      <c r="FM43" s="249"/>
      <c r="FN43" s="249"/>
      <c r="FO43" s="249"/>
      <c r="FP43" s="249"/>
      <c r="FQ43" s="249"/>
      <c r="FR43" s="249"/>
      <c r="FS43" s="249"/>
      <c r="FT43" s="249"/>
      <c r="FU43" s="249"/>
      <c r="FV43" s="249"/>
      <c r="FW43" s="249"/>
      <c r="FX43" s="249"/>
      <c r="FY43" s="249"/>
      <c r="FZ43" s="249"/>
      <c r="GA43" s="249"/>
      <c r="GB43" s="249"/>
      <c r="GC43" s="249"/>
      <c r="GD43" s="249"/>
      <c r="GE43" s="249"/>
      <c r="GF43" s="249"/>
      <c r="GG43" s="249"/>
      <c r="GH43" s="249"/>
      <c r="GI43" s="249"/>
      <c r="GJ43" s="249"/>
      <c r="GK43" s="249"/>
      <c r="GL43" s="249"/>
      <c r="GM43" s="249"/>
      <c r="GN43" s="249"/>
      <c r="GO43" s="249"/>
      <c r="GP43" s="249"/>
      <c r="GQ43" s="249"/>
      <c r="GR43" s="249"/>
      <c r="GS43" s="249"/>
      <c r="GT43" s="249"/>
      <c r="GU43" s="249"/>
      <c r="GV43" s="249"/>
      <c r="GW43" s="249"/>
      <c r="GX43" s="249"/>
      <c r="GY43" s="249"/>
      <c r="GZ43" s="249"/>
      <c r="HA43" s="249"/>
      <c r="HB43" s="249"/>
      <c r="HC43" s="249"/>
      <c r="HD43" s="249"/>
    </row>
    <row r="44" spans="1:212" s="732" customFormat="1" ht="22.5" x14ac:dyDescent="0.25">
      <c r="A44" s="52">
        <f>IF(COUNTBLANK(B44)=1," ",COUNTA($B$12:B44))</f>
        <v>15</v>
      </c>
      <c r="B44" s="288" t="s">
        <v>14</v>
      </c>
      <c r="C44" s="601" t="s">
        <v>228</v>
      </c>
      <c r="D44" s="301" t="s">
        <v>26</v>
      </c>
      <c r="E44" s="290">
        <f>E43*0.2^3</f>
        <v>0.65600000000000014</v>
      </c>
      <c r="F44" s="291"/>
      <c r="G44" s="34"/>
      <c r="H44" s="271"/>
      <c r="I44" s="34"/>
      <c r="J44" s="55"/>
      <c r="K44" s="34"/>
      <c r="L44" s="534"/>
      <c r="M44" s="534"/>
      <c r="N44" s="534"/>
      <c r="O44" s="534"/>
      <c r="P44" s="534"/>
      <c r="Q44" s="534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49"/>
      <c r="CB44" s="249"/>
      <c r="CC44" s="249"/>
      <c r="CD44" s="249"/>
      <c r="CE44" s="249"/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49"/>
      <c r="DY44" s="249"/>
      <c r="DZ44" s="249"/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M44" s="249"/>
      <c r="EN44" s="249"/>
      <c r="EO44" s="249"/>
      <c r="EP44" s="249"/>
      <c r="EQ44" s="249"/>
      <c r="ER44" s="249"/>
      <c r="ES44" s="249"/>
      <c r="ET44" s="249"/>
      <c r="EU44" s="249"/>
      <c r="EV44" s="249"/>
      <c r="EW44" s="249"/>
      <c r="EX44" s="249"/>
      <c r="EY44" s="249"/>
      <c r="EZ44" s="249"/>
      <c r="FA44" s="249"/>
      <c r="FB44" s="249"/>
      <c r="FC44" s="249"/>
      <c r="FD44" s="249"/>
      <c r="FE44" s="249"/>
      <c r="FF44" s="249"/>
      <c r="FG44" s="249"/>
      <c r="FH44" s="249"/>
      <c r="FI44" s="249"/>
      <c r="FJ44" s="249"/>
      <c r="FK44" s="249"/>
      <c r="FL44" s="249"/>
      <c r="FM44" s="249"/>
      <c r="FN44" s="249"/>
      <c r="FO44" s="249"/>
      <c r="FP44" s="249"/>
      <c r="FQ44" s="249"/>
      <c r="FR44" s="249"/>
      <c r="FS44" s="249"/>
      <c r="FT44" s="249"/>
      <c r="FU44" s="249"/>
      <c r="FV44" s="249"/>
      <c r="FW44" s="249"/>
      <c r="FX44" s="249"/>
      <c r="FY44" s="249"/>
      <c r="FZ44" s="249"/>
      <c r="GA44" s="249"/>
      <c r="GB44" s="249"/>
      <c r="GC44" s="249"/>
      <c r="GD44" s="249"/>
      <c r="GE44" s="249"/>
      <c r="GF44" s="249"/>
      <c r="GG44" s="249"/>
      <c r="GH44" s="249"/>
      <c r="GI44" s="249"/>
      <c r="GJ44" s="249"/>
      <c r="GK44" s="249"/>
      <c r="GL44" s="249"/>
      <c r="GM44" s="249"/>
      <c r="GN44" s="249"/>
      <c r="GO44" s="249"/>
      <c r="GP44" s="249"/>
      <c r="GQ44" s="249"/>
      <c r="GR44" s="249"/>
      <c r="GS44" s="249"/>
      <c r="GT44" s="249"/>
      <c r="GU44" s="249"/>
      <c r="GV44" s="249"/>
      <c r="GW44" s="249"/>
      <c r="GX44" s="249"/>
      <c r="GY44" s="249"/>
      <c r="GZ44" s="249"/>
      <c r="HA44" s="249"/>
      <c r="HB44" s="249"/>
      <c r="HC44" s="249"/>
      <c r="HD44" s="249"/>
    </row>
    <row r="45" spans="1:212" s="732" customFormat="1" x14ac:dyDescent="0.25">
      <c r="A45" s="52" t="str">
        <f>IF(COUNTBLANK(B45)=1," ",COUNTA($B$12:B45))</f>
        <v xml:space="preserve"> </v>
      </c>
      <c r="B45" s="288"/>
      <c r="C45" s="297" t="s">
        <v>229</v>
      </c>
      <c r="D45" s="302" t="s">
        <v>26</v>
      </c>
      <c r="E45" s="291">
        <f>E44*F45</f>
        <v>0.98400000000000021</v>
      </c>
      <c r="F45" s="291">
        <v>1.5</v>
      </c>
      <c r="G45" s="513"/>
      <c r="H45" s="514"/>
      <c r="I45" s="513"/>
      <c r="J45" s="513"/>
      <c r="K45" s="515"/>
      <c r="L45" s="534"/>
      <c r="M45" s="534"/>
      <c r="N45" s="534"/>
      <c r="O45" s="534"/>
      <c r="P45" s="534"/>
      <c r="Q45" s="534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49"/>
      <c r="DY45" s="249"/>
      <c r="DZ45" s="249"/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M45" s="249"/>
      <c r="EN45" s="249"/>
      <c r="EO45" s="249"/>
      <c r="EP45" s="249"/>
      <c r="EQ45" s="249"/>
      <c r="ER45" s="249"/>
      <c r="ES45" s="249"/>
      <c r="ET45" s="249"/>
      <c r="EU45" s="249"/>
      <c r="EV45" s="249"/>
      <c r="EW45" s="249"/>
      <c r="EX45" s="249"/>
      <c r="EY45" s="249"/>
      <c r="EZ45" s="249"/>
      <c r="FA45" s="249"/>
      <c r="FB45" s="249"/>
      <c r="FC45" s="249"/>
      <c r="FD45" s="249"/>
      <c r="FE45" s="249"/>
      <c r="FF45" s="249"/>
      <c r="FG45" s="249"/>
      <c r="FH45" s="249"/>
      <c r="FI45" s="249"/>
      <c r="FJ45" s="249"/>
      <c r="FK45" s="249"/>
      <c r="FL45" s="249"/>
      <c r="FM45" s="249"/>
      <c r="FN45" s="249"/>
      <c r="FO45" s="249"/>
      <c r="FP45" s="249"/>
      <c r="FQ45" s="249"/>
      <c r="FR45" s="249"/>
      <c r="FS45" s="249"/>
      <c r="FT45" s="249"/>
      <c r="FU45" s="249"/>
      <c r="FV45" s="249"/>
      <c r="FW45" s="249"/>
      <c r="FX45" s="249"/>
      <c r="FY45" s="249"/>
      <c r="FZ45" s="249"/>
      <c r="GA45" s="249"/>
      <c r="GB45" s="249"/>
      <c r="GC45" s="249"/>
      <c r="GD45" s="249"/>
      <c r="GE45" s="249"/>
      <c r="GF45" s="249"/>
      <c r="GG45" s="249"/>
      <c r="GH45" s="249"/>
      <c r="GI45" s="249"/>
      <c r="GJ45" s="249"/>
      <c r="GK45" s="249"/>
      <c r="GL45" s="249"/>
      <c r="GM45" s="249"/>
      <c r="GN45" s="249"/>
      <c r="GO45" s="249"/>
      <c r="GP45" s="249"/>
      <c r="GQ45" s="249"/>
      <c r="GR45" s="249"/>
      <c r="GS45" s="249"/>
      <c r="GT45" s="249"/>
      <c r="GU45" s="249"/>
      <c r="GV45" s="249"/>
      <c r="GW45" s="249"/>
      <c r="GX45" s="249"/>
      <c r="GY45" s="249"/>
      <c r="GZ45" s="249"/>
      <c r="HA45" s="249"/>
      <c r="HB45" s="249"/>
      <c r="HC45" s="249"/>
      <c r="HD45" s="249"/>
    </row>
    <row r="46" spans="1:212" s="202" customFormat="1" x14ac:dyDescent="0.25">
      <c r="A46" s="95" t="str">
        <f>IF(COUNTBLANK(B46)=1," ",COUNTA($B$12:B46))</f>
        <v xml:space="preserve"> </v>
      </c>
      <c r="B46" s="9"/>
      <c r="C46" s="540" t="s">
        <v>585</v>
      </c>
      <c r="D46" s="540"/>
      <c r="E46" s="540"/>
      <c r="F46" s="533"/>
      <c r="G46" s="533"/>
      <c r="H46" s="533"/>
      <c r="I46" s="533"/>
      <c r="J46" s="533"/>
      <c r="K46" s="533"/>
      <c r="L46" s="534"/>
      <c r="M46" s="534"/>
      <c r="N46" s="534"/>
      <c r="O46" s="534"/>
      <c r="P46" s="534"/>
      <c r="Q46" s="534"/>
    </row>
    <row r="47" spans="1:212" s="202" customFormat="1" x14ac:dyDescent="0.25">
      <c r="A47" s="95">
        <f>IF(COUNTBLANK(B47)=1," ",COUNTA($B$12:B47))</f>
        <v>16</v>
      </c>
      <c r="B47" s="9" t="s">
        <v>14</v>
      </c>
      <c r="C47" s="541" t="s">
        <v>584</v>
      </c>
      <c r="D47" s="542" t="s">
        <v>203</v>
      </c>
      <c r="E47" s="543">
        <v>4</v>
      </c>
      <c r="F47" s="533"/>
      <c r="G47" s="509"/>
      <c r="H47" s="271"/>
      <c r="I47" s="509"/>
      <c r="J47" s="510"/>
      <c r="K47" s="509"/>
      <c r="L47" s="534"/>
      <c r="M47" s="534"/>
      <c r="N47" s="534"/>
      <c r="O47" s="534"/>
      <c r="P47" s="534"/>
      <c r="Q47" s="534"/>
    </row>
    <row r="48" spans="1:212" s="35" customFormat="1" ht="22.5" x14ac:dyDescent="0.25">
      <c r="A48" s="95">
        <f>IF(COUNTBLANK(B48)=1," ",COUNTA($B$12:B48))</f>
        <v>17</v>
      </c>
      <c r="B48" s="9" t="s">
        <v>14</v>
      </c>
      <c r="C48" s="527" t="s">
        <v>592</v>
      </c>
      <c r="D48" s="528" t="s">
        <v>26</v>
      </c>
      <c r="E48" s="529">
        <f>3.6*0.4</f>
        <v>1.4400000000000002</v>
      </c>
      <c r="F48" s="529"/>
      <c r="G48" s="538"/>
      <c r="H48" s="538"/>
      <c r="I48" s="538"/>
      <c r="J48" s="538"/>
      <c r="K48" s="538"/>
      <c r="L48" s="539"/>
      <c r="M48" s="539"/>
      <c r="N48" s="539"/>
      <c r="O48" s="539"/>
      <c r="P48" s="539"/>
      <c r="Q48" s="539"/>
    </row>
    <row r="49" spans="1:17" s="35" customFormat="1" x14ac:dyDescent="0.25">
      <c r="A49" s="95" t="str">
        <f>IF(COUNTBLANK(B49)=1," ",COUNTA($B$12:B49))</f>
        <v xml:space="preserve"> </v>
      </c>
      <c r="B49" s="530"/>
      <c r="C49" s="527" t="s">
        <v>586</v>
      </c>
      <c r="D49" s="528" t="s">
        <v>26</v>
      </c>
      <c r="E49" s="529">
        <f>E48*F49</f>
        <v>0.21600000000000003</v>
      </c>
      <c r="F49" s="529">
        <v>0.15</v>
      </c>
      <c r="G49" s="538"/>
      <c r="H49" s="538"/>
      <c r="I49" s="538"/>
      <c r="J49" s="538"/>
      <c r="K49" s="538"/>
      <c r="L49" s="539"/>
      <c r="M49" s="539"/>
      <c r="N49" s="539"/>
      <c r="O49" s="539"/>
      <c r="P49" s="539"/>
      <c r="Q49" s="539"/>
    </row>
    <row r="50" spans="1:17" s="202" customFormat="1" x14ac:dyDescent="0.25">
      <c r="A50" s="95"/>
      <c r="B50" s="530"/>
      <c r="C50" s="527" t="s">
        <v>591</v>
      </c>
      <c r="D50" s="528" t="s">
        <v>16</v>
      </c>
      <c r="E50" s="529">
        <f>1.2*2*E47*1.2</f>
        <v>11.52</v>
      </c>
      <c r="F50" s="529">
        <v>1.1499999999999999</v>
      </c>
      <c r="G50" s="538"/>
      <c r="H50" s="538"/>
      <c r="I50" s="538"/>
      <c r="J50" s="538"/>
      <c r="K50" s="538"/>
      <c r="L50" s="539"/>
      <c r="M50" s="539"/>
      <c r="N50" s="539"/>
      <c r="O50" s="539"/>
      <c r="P50" s="539"/>
      <c r="Q50" s="539"/>
    </row>
    <row r="51" spans="1:17" s="202" customFormat="1" x14ac:dyDescent="0.25">
      <c r="A51" s="95" t="str">
        <f>IF(COUNTBLANK(B51)=1," ",COUNTA($B$12:B51))</f>
        <v xml:space="preserve"> </v>
      </c>
      <c r="B51" s="530"/>
      <c r="C51" s="527" t="s">
        <v>587</v>
      </c>
      <c r="D51" s="528" t="s">
        <v>26</v>
      </c>
      <c r="E51" s="529">
        <f>E48*F51</f>
        <v>1.3392000000000002</v>
      </c>
      <c r="F51" s="529">
        <v>0.93</v>
      </c>
      <c r="G51" s="538"/>
      <c r="H51" s="538"/>
      <c r="I51" s="538"/>
      <c r="J51" s="538"/>
      <c r="K51" s="538"/>
      <c r="L51" s="539"/>
      <c r="M51" s="539"/>
      <c r="N51" s="539"/>
      <c r="O51" s="539"/>
      <c r="P51" s="539"/>
      <c r="Q51" s="539"/>
    </row>
    <row r="52" spans="1:17" s="36" customFormat="1" x14ac:dyDescent="0.25">
      <c r="A52" s="95">
        <f>IF(COUNTBLANK(B52)=1," ",COUNTA($B$12:B52))</f>
        <v>18</v>
      </c>
      <c r="B52" s="9" t="s">
        <v>14</v>
      </c>
      <c r="C52" s="544" t="s">
        <v>588</v>
      </c>
      <c r="D52" s="545" t="s">
        <v>26</v>
      </c>
      <c r="E52" s="101">
        <f>E51*0.5</f>
        <v>0.66960000000000008</v>
      </c>
      <c r="F52" s="535"/>
      <c r="G52" s="10"/>
      <c r="H52" s="271"/>
      <c r="I52" s="10"/>
      <c r="J52" s="58"/>
      <c r="K52" s="10"/>
      <c r="L52" s="534"/>
      <c r="M52" s="534"/>
      <c r="N52" s="534"/>
      <c r="O52" s="534"/>
      <c r="P52" s="534"/>
      <c r="Q52" s="534"/>
    </row>
    <row r="53" spans="1:17" s="732" customFormat="1" x14ac:dyDescent="0.25">
      <c r="A53" s="95" t="str">
        <f>IF(COUNTBLANK(B53)=1," ",COUNTA($B$12:B53))</f>
        <v xml:space="preserve"> </v>
      </c>
      <c r="B53" s="743"/>
      <c r="C53" s="54" t="s">
        <v>589</v>
      </c>
      <c r="D53" s="729" t="s">
        <v>26</v>
      </c>
      <c r="E53" s="10">
        <f>E52*F53</f>
        <v>0.7365600000000001</v>
      </c>
      <c r="F53" s="10">
        <v>1.1000000000000001</v>
      </c>
      <c r="G53" s="10"/>
      <c r="H53" s="10"/>
      <c r="I53" s="10"/>
      <c r="J53" s="10"/>
      <c r="K53" s="10"/>
      <c r="L53" s="536"/>
      <c r="M53" s="536"/>
      <c r="N53" s="536"/>
      <c r="O53" s="536"/>
      <c r="P53" s="536"/>
      <c r="Q53" s="536"/>
    </row>
    <row r="54" spans="1:17" s="732" customFormat="1" x14ac:dyDescent="0.25">
      <c r="A54" s="744"/>
      <c r="B54" s="37"/>
      <c r="C54" s="50"/>
      <c r="D54" s="40"/>
      <c r="E54" s="227"/>
      <c r="F54" s="227"/>
      <c r="G54" s="37"/>
      <c r="H54" s="227"/>
      <c r="I54" s="227"/>
      <c r="J54" s="227"/>
      <c r="K54" s="227"/>
      <c r="L54" s="303"/>
      <c r="M54" s="304"/>
      <c r="N54" s="304"/>
      <c r="O54" s="304"/>
      <c r="P54" s="304"/>
      <c r="Q54" s="304"/>
    </row>
    <row r="55" spans="1:17" ht="22.5" x14ac:dyDescent="0.25">
      <c r="A55" s="738"/>
      <c r="B55" s="45"/>
      <c r="C55" s="217" t="s">
        <v>179</v>
      </c>
      <c r="D55" s="17"/>
      <c r="E55" s="162"/>
      <c r="F55" s="162"/>
      <c r="G55" s="17"/>
      <c r="H55" s="17"/>
      <c r="I55" s="17"/>
      <c r="J55" s="17"/>
      <c r="K55" s="17"/>
      <c r="L55" s="17"/>
      <c r="M55" s="20">
        <f>SUM(M12:M53)</f>
        <v>0</v>
      </c>
      <c r="N55" s="20">
        <f>SUM(N12:N53)</f>
        <v>0</v>
      </c>
      <c r="O55" s="20">
        <f>SUM(O12:O53)</f>
        <v>0</v>
      </c>
      <c r="P55" s="20">
        <f>SUM(P12:P53)</f>
        <v>0</v>
      </c>
      <c r="Q55" s="20">
        <f>SUM(Q12:Q53)</f>
        <v>0</v>
      </c>
    </row>
    <row r="56" spans="1:17" x14ac:dyDescent="0.25">
      <c r="A56" s="740"/>
      <c r="B56" s="94"/>
      <c r="C56" s="151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</row>
    <row r="57" spans="1:17" x14ac:dyDescent="0.25">
      <c r="A57" s="740"/>
      <c r="B57" s="140" t="str">
        <f>sas</f>
        <v>Sastādīja:</v>
      </c>
      <c r="C57" s="140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</row>
    <row r="58" spans="1:17" x14ac:dyDescent="0.25">
      <c r="A58" s="8"/>
      <c r="B58" s="140"/>
      <c r="C58" s="358" t="s">
        <v>145</v>
      </c>
      <c r="D58" s="140"/>
      <c r="E58" s="140"/>
      <c r="F58" s="94"/>
      <c r="G58" s="94"/>
      <c r="H58" s="140"/>
      <c r="I58" s="140"/>
      <c r="J58" s="140"/>
      <c r="K58" s="140"/>
      <c r="L58" s="140"/>
      <c r="M58" s="140"/>
      <c r="N58" s="140"/>
      <c r="O58" s="140"/>
      <c r="P58" s="140"/>
      <c r="Q58" s="140"/>
    </row>
    <row r="59" spans="1:17" x14ac:dyDescent="0.25">
      <c r="A59" s="8"/>
      <c r="B59" s="161"/>
      <c r="C59" s="161"/>
      <c r="D59" s="140"/>
      <c r="E59" s="140"/>
      <c r="F59" s="94"/>
      <c r="G59" s="94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 x14ac:dyDescent="0.25">
      <c r="A60" s="8"/>
      <c r="B60" s="140" t="str">
        <f>dat</f>
        <v>Tāme sastādīta 201__. gada __.____________</v>
      </c>
      <c r="C60" s="140"/>
      <c r="D60" s="140"/>
      <c r="E60" s="140"/>
      <c r="F60" s="94"/>
      <c r="G60" s="94"/>
      <c r="H60" s="140"/>
      <c r="I60" s="140"/>
      <c r="J60" s="140"/>
      <c r="K60" s="140"/>
      <c r="L60" s="140"/>
      <c r="M60" s="140"/>
      <c r="N60" s="140"/>
      <c r="O60" s="140"/>
      <c r="P60" s="140"/>
      <c r="Q60" s="140"/>
    </row>
    <row r="61" spans="1:17" x14ac:dyDescent="0.25">
      <c r="A61" s="8"/>
      <c r="B61" s="161"/>
      <c r="C61" s="161"/>
      <c r="D61" s="140"/>
      <c r="E61" s="140"/>
      <c r="F61" s="94"/>
      <c r="G61" s="94"/>
      <c r="H61" s="140"/>
      <c r="I61" s="140"/>
      <c r="J61" s="140"/>
      <c r="K61" s="140"/>
      <c r="L61" s="140"/>
      <c r="M61" s="140"/>
      <c r="N61" s="140"/>
      <c r="O61" s="140"/>
      <c r="P61" s="140"/>
      <c r="Q61" s="140"/>
    </row>
    <row r="62" spans="1:17" x14ac:dyDescent="0.25">
      <c r="B62" s="140" t="s">
        <v>147</v>
      </c>
      <c r="C62" s="140"/>
      <c r="F62" s="45"/>
    </row>
    <row r="63" spans="1:17" x14ac:dyDescent="0.25">
      <c r="B63" s="140"/>
      <c r="C63" s="358" t="s">
        <v>145</v>
      </c>
      <c r="F63" s="45"/>
    </row>
    <row r="64" spans="1:17" x14ac:dyDescent="0.25">
      <c r="B64" s="161"/>
      <c r="C64" s="140" t="s">
        <v>148</v>
      </c>
      <c r="F64" s="45"/>
    </row>
    <row r="65" spans="3:4" x14ac:dyDescent="0.25">
      <c r="C65" s="144"/>
      <c r="D65" s="203"/>
    </row>
  </sheetData>
  <autoFilter ref="A11:HD53" xr:uid="{00000000-0009-0000-0000-000008000000}"/>
  <mergeCells count="8"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  <ignoredErrors>
    <ignoredError sqref="E36:E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27</vt:i4>
      </vt:variant>
      <vt:variant>
        <vt:lpstr>Diapazoni ar nosaukumiem</vt:lpstr>
      </vt:variant>
      <vt:variant>
        <vt:i4>54</vt:i4>
      </vt:variant>
    </vt:vector>
  </HeadingPairs>
  <TitlesOfParts>
    <vt:vector size="81" baseType="lpstr">
      <vt:lpstr>apjom</vt:lpstr>
      <vt:lpstr>KOP</vt:lpstr>
      <vt:lpstr>KPDV</vt:lpstr>
      <vt:lpstr>AR1</vt:lpstr>
      <vt:lpstr>AR2</vt:lpstr>
      <vt:lpstr>L1</vt:lpstr>
      <vt:lpstr>L2</vt:lpstr>
      <vt:lpstr>cokol1</vt:lpstr>
      <vt:lpstr>cokol2</vt:lpstr>
      <vt:lpstr>pag1</vt:lpstr>
      <vt:lpstr>pag2</vt:lpstr>
      <vt:lpstr>bēniņi1</vt:lpstr>
      <vt:lpstr>bēniņi2</vt:lpstr>
      <vt:lpstr>jumt1</vt:lpstr>
      <vt:lpstr>jumtseg1</vt:lpstr>
      <vt:lpstr>jumt2</vt:lpstr>
      <vt:lpstr>jumtseg2</vt:lpstr>
      <vt:lpstr>Ieeja1</vt:lpstr>
      <vt:lpstr>Ieeja2</vt:lpstr>
      <vt:lpstr>lodz1</vt:lpstr>
      <vt:lpstr>lodz-2</vt:lpstr>
      <vt:lpstr>AVK</vt:lpstr>
      <vt:lpstr>K1</vt:lpstr>
      <vt:lpstr>U1</vt:lpstr>
      <vt:lpstr>Komun.šahtas</vt:lpstr>
      <vt:lpstr>zibens1</vt:lpstr>
      <vt:lpstr>zibens2</vt:lpstr>
      <vt:lpstr>adres</vt:lpstr>
      <vt:lpstr>adrese</vt:lpstr>
      <vt:lpstr>dat</vt:lpstr>
      <vt:lpstr>'AR1'!Drukas_apgabals</vt:lpstr>
      <vt:lpstr>'AR2'!Drukas_apgabals</vt:lpstr>
      <vt:lpstr>AVK!Drukas_apgabals</vt:lpstr>
      <vt:lpstr>bēniņi1!Drukas_apgabals</vt:lpstr>
      <vt:lpstr>bēniņi2!Drukas_apgabals</vt:lpstr>
      <vt:lpstr>cokol1!Drukas_apgabals</vt:lpstr>
      <vt:lpstr>cokol2!Drukas_apgabals</vt:lpstr>
      <vt:lpstr>Ieeja1!Drukas_apgabals</vt:lpstr>
      <vt:lpstr>Ieeja2!Drukas_apgabals</vt:lpstr>
      <vt:lpstr>jumt1!Drukas_apgabals</vt:lpstr>
      <vt:lpstr>jumt2!Drukas_apgabals</vt:lpstr>
      <vt:lpstr>jumtseg1!Drukas_apgabals</vt:lpstr>
      <vt:lpstr>jumtseg2!Drukas_apgabals</vt:lpstr>
      <vt:lpstr>'K1'!Drukas_apgabals</vt:lpstr>
      <vt:lpstr>Komun.šahtas!Drukas_apgabals</vt:lpstr>
      <vt:lpstr>KPDV!Drukas_apgabals</vt:lpstr>
      <vt:lpstr>'L1'!Drukas_apgabals</vt:lpstr>
      <vt:lpstr>'L2'!Drukas_apgabals</vt:lpstr>
      <vt:lpstr>lodz1!Drukas_apgabals</vt:lpstr>
      <vt:lpstr>'lodz-2'!Drukas_apgabals</vt:lpstr>
      <vt:lpstr>'pag1'!Drukas_apgabals</vt:lpstr>
      <vt:lpstr>'pag2'!Drukas_apgabals</vt:lpstr>
      <vt:lpstr>'U1'!Drukas_apgabals</vt:lpstr>
      <vt:lpstr>zibens1!Drukas_apgabals</vt:lpstr>
      <vt:lpstr>zibens2!Drukas_apgabals</vt:lpstr>
      <vt:lpstr>'AR1'!Drukāt_virsrakstus</vt:lpstr>
      <vt:lpstr>'AR2'!Drukāt_virsrakstus</vt:lpstr>
      <vt:lpstr>bēniņi1!Drukāt_virsrakstus</vt:lpstr>
      <vt:lpstr>bēniņi2!Drukāt_virsrakstus</vt:lpstr>
      <vt:lpstr>cokol1!Drukāt_virsrakstus</vt:lpstr>
      <vt:lpstr>cokol2!Drukāt_virsrakstus</vt:lpstr>
      <vt:lpstr>Ieeja1!Drukāt_virsrakstus</vt:lpstr>
      <vt:lpstr>Ieeja2!Drukāt_virsrakstus</vt:lpstr>
      <vt:lpstr>jumt1!Drukāt_virsrakstus</vt:lpstr>
      <vt:lpstr>jumt2!Drukāt_virsrakstus</vt:lpstr>
      <vt:lpstr>jumtseg1!Drukāt_virsrakstus</vt:lpstr>
      <vt:lpstr>jumtseg2!Drukāt_virsrakstus</vt:lpstr>
      <vt:lpstr>'K1'!Drukāt_virsrakstus</vt:lpstr>
      <vt:lpstr>'L1'!Drukāt_virsrakstus</vt:lpstr>
      <vt:lpstr>'L2'!Drukāt_virsrakstus</vt:lpstr>
      <vt:lpstr>lodz1!Drukāt_virsrakstus</vt:lpstr>
      <vt:lpstr>'lodz-2'!Drukāt_virsrakstus</vt:lpstr>
      <vt:lpstr>'pag1'!Drukāt_virsrakstus</vt:lpstr>
      <vt:lpstr>'pag2'!Drukāt_virsrakstus</vt:lpstr>
      <vt:lpstr>nos</vt:lpstr>
      <vt:lpstr>nr</vt:lpstr>
      <vt:lpstr>obj</vt:lpstr>
      <vt:lpstr>obnos</vt:lpstr>
      <vt:lpstr>pas</vt:lpstr>
      <vt:lpstr>pasut</vt:lpstr>
      <vt:lpstr>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2019-02-07T14:55:55Z</dcterms:modified>
</cp:coreProperties>
</file>