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defaultThemeVersion="166925"/>
  <mc:AlternateContent xmlns:mc="http://schemas.openxmlformats.org/markup-compatibility/2006">
    <mc:Choice Requires="x15">
      <x15ac:absPath xmlns:x15ac="http://schemas.microsoft.com/office/spreadsheetml/2010/11/ac" url="\\192.168.2.20\docs\Pagaidu dokumenti\Renovācija_iepirkums\Altum_iepirkumi\86_Dzerves_23\"/>
    </mc:Choice>
  </mc:AlternateContent>
  <xr:revisionPtr revIDLastSave="0" documentId="13_ncr:1_{B2EF6EA2-1B85-4A59-A00E-602FC816A666}" xr6:coauthVersionLast="46" xr6:coauthVersionMax="46" xr10:uidLastSave="{00000000-0000-0000-0000-000000000000}"/>
  <bookViews>
    <workbookView xWindow="570" yWindow="585" windowWidth="17130" windowHeight="14790" tabRatio="846" activeTab="12" xr2:uid="{00000000-000D-0000-FFFF-FFFF00000000}"/>
  </bookViews>
  <sheets>
    <sheet name="Kopt a" sheetId="1" r:id="rId1"/>
    <sheet name="Kops a" sheetId="2" r:id="rId2"/>
    <sheet name="1a" sheetId="3" r:id="rId3"/>
    <sheet name="2a" sheetId="4" r:id="rId4"/>
    <sheet name="apjomi" sheetId="14" state="hidden" r:id="rId5"/>
    <sheet name="3a" sheetId="5" r:id="rId6"/>
    <sheet name="4a" sheetId="6" r:id="rId7"/>
    <sheet name="5a" sheetId="8" r:id="rId8"/>
    <sheet name="6a" sheetId="20" r:id="rId9"/>
    <sheet name="7a" sheetId="15" r:id="rId10"/>
    <sheet name="8a" sheetId="16" r:id="rId11"/>
    <sheet name="9a" sheetId="21" r:id="rId12"/>
    <sheet name="10a" sheetId="18" r:id="rId13"/>
  </sheets>
  <definedNames>
    <definedName name="_xlnm._FilterDatabase" localSheetId="7" hidden="1">'5a'!$A$14:$P$30</definedName>
    <definedName name="_xlnm._FilterDatabase" localSheetId="8" hidden="1">'6a'!$A$14:$WVV$63</definedName>
    <definedName name="_xlnm._FilterDatabase" localSheetId="9" hidden="1">'7a'!$A$14:$P$63</definedName>
    <definedName name="_xlnm._FilterDatabase" localSheetId="10" hidden="1">'8a'!$A$14:$P$83</definedName>
    <definedName name="_xlnm._FilterDatabase" localSheetId="11" hidden="1">'9a'!$A$14:$P$68</definedName>
    <definedName name="_xlnm.Print_Area" localSheetId="3">'2a'!$A$1:$P$77</definedName>
    <definedName name="_xlnm.Print_Area" localSheetId="8">'6a'!$A$1:$P$78</definedName>
    <definedName name="_xlnm.Print_Area" localSheetId="4">apjomi!$A$1:$U$28</definedName>
    <definedName name="_xlnm.Print_Titles" localSheetId="12">'10a'!$12:$13</definedName>
    <definedName name="_xlnm.Print_Titles" localSheetId="2">'1a'!$12:$13</definedName>
    <definedName name="_xlnm.Print_Titles" localSheetId="3">'2a'!$12:$13</definedName>
    <definedName name="_xlnm.Print_Titles" localSheetId="5">'3a'!$12:$13</definedName>
    <definedName name="_xlnm.Print_Titles" localSheetId="6">'4a'!$12:$13</definedName>
    <definedName name="_xlnm.Print_Titles" localSheetId="7">'5a'!$12:$13</definedName>
    <definedName name="_xlnm.Print_Titles" localSheetId="8">'6a'!$12:$13</definedName>
    <definedName name="_xlnm.Print_Titles" localSheetId="9">'7a'!$12:$13</definedName>
    <definedName name="_xlnm.Print_Titles" localSheetId="10">'8a'!$12:$13</definedName>
    <definedName name="_xlnm.Print_Titles" localSheetId="11">'9a'!$12:$13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0" i="2" l="1"/>
  <c r="A27" i="20"/>
  <c r="A28" i="20"/>
  <c r="A29" i="20"/>
  <c r="A30" i="20"/>
  <c r="A31" i="20"/>
  <c r="A30" i="18"/>
  <c r="A30" i="21"/>
  <c r="A30" i="16"/>
  <c r="A30" i="15"/>
  <c r="A30" i="6"/>
  <c r="A30" i="4"/>
  <c r="A30" i="3"/>
  <c r="E20" i="20"/>
  <c r="E31" i="3"/>
  <c r="D27" i="14"/>
  <c r="E27" i="20" l="1"/>
  <c r="E28" i="20"/>
  <c r="E29" i="20"/>
  <c r="E30" i="20"/>
  <c r="Q23" i="14" l="1"/>
  <c r="Q22" i="14"/>
  <c r="A58" i="18" l="1"/>
  <c r="A31" i="3" l="1"/>
  <c r="A51" i="18" l="1"/>
  <c r="E61" i="21" l="1"/>
  <c r="A57" i="21" l="1"/>
  <c r="A60" i="21"/>
  <c r="A61" i="21"/>
  <c r="A62" i="21"/>
  <c r="A63" i="21"/>
  <c r="A64" i="21"/>
  <c r="A65" i="21"/>
  <c r="A66" i="21"/>
  <c r="A67" i="21"/>
  <c r="A16" i="21" l="1"/>
  <c r="A17" i="21"/>
  <c r="A18" i="21"/>
  <c r="A19" i="21"/>
  <c r="A20" i="21"/>
  <c r="A21" i="21"/>
  <c r="A22" i="21"/>
  <c r="A23" i="21"/>
  <c r="A24" i="21"/>
  <c r="A25" i="21"/>
  <c r="A26" i="21"/>
  <c r="A27" i="21"/>
  <c r="A28" i="21"/>
  <c r="A29"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15" i="21"/>
  <c r="E42" i="21"/>
  <c r="E41" i="21"/>
  <c r="E38" i="21"/>
  <c r="E37" i="21"/>
  <c r="E36" i="21"/>
  <c r="E35" i="21"/>
  <c r="E27" i="21"/>
  <c r="E82" i="16"/>
  <c r="E81" i="16"/>
  <c r="E80" i="16"/>
  <c r="E77" i="16"/>
  <c r="E75" i="16"/>
  <c r="E74" i="16"/>
  <c r="E71" i="16"/>
  <c r="E70" i="16"/>
  <c r="E67" i="16"/>
  <c r="E63" i="16"/>
  <c r="E62" i="16"/>
  <c r="E55" i="16"/>
  <c r="E52" i="16"/>
  <c r="E51" i="16"/>
  <c r="E50" i="16"/>
  <c r="E38" i="16"/>
  <c r="E36" i="16"/>
  <c r="E35" i="16"/>
  <c r="E34" i="16"/>
  <c r="E33" i="16"/>
  <c r="E32" i="16"/>
  <c r="E31" i="16"/>
  <c r="E30" i="16"/>
  <c r="E29" i="16"/>
  <c r="E28" i="16"/>
  <c r="E27" i="16"/>
  <c r="E26" i="16"/>
  <c r="E25" i="16"/>
  <c r="E24" i="16"/>
  <c r="E23" i="16"/>
  <c r="E22" i="16"/>
  <c r="E21" i="16"/>
  <c r="E20" i="16"/>
  <c r="E19" i="16"/>
  <c r="E18" i="16"/>
  <c r="E17" i="16"/>
  <c r="E16" i="16"/>
  <c r="E15" i="16"/>
  <c r="A16" i="16"/>
  <c r="A17" i="16"/>
  <c r="A18" i="16"/>
  <c r="A19" i="16"/>
  <c r="A20" i="16"/>
  <c r="A21" i="16"/>
  <c r="A22" i="16"/>
  <c r="A23" i="16"/>
  <c r="A24" i="16"/>
  <c r="A25" i="16"/>
  <c r="A26" i="16"/>
  <c r="A27" i="16"/>
  <c r="A28" i="16"/>
  <c r="A29"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16" i="15"/>
  <c r="A17" i="15"/>
  <c r="A18" i="15"/>
  <c r="A19" i="15"/>
  <c r="A20" i="15"/>
  <c r="A21" i="15"/>
  <c r="A22" i="15"/>
  <c r="A23" i="15"/>
  <c r="A24" i="15"/>
  <c r="A25" i="15"/>
  <c r="A26" i="15"/>
  <c r="A27" i="15"/>
  <c r="A28" i="15"/>
  <c r="A29" i="15"/>
  <c r="A31" i="15"/>
  <c r="A19" i="8"/>
  <c r="A20" i="8"/>
  <c r="A21" i="8"/>
  <c r="A22" i="8"/>
  <c r="A23" i="8"/>
  <c r="A24" i="8"/>
  <c r="A25" i="8"/>
  <c r="A26" i="8"/>
  <c r="A27" i="8"/>
  <c r="A28" i="8"/>
  <c r="A29" i="8"/>
  <c r="A18" i="8"/>
  <c r="A17" i="8"/>
  <c r="E59" i="15"/>
  <c r="E57" i="15"/>
  <c r="E55" i="15"/>
  <c r="E54" i="15"/>
  <c r="E52" i="15"/>
  <c r="E51" i="15"/>
  <c r="E49" i="15"/>
  <c r="E48" i="15"/>
  <c r="E47" i="15"/>
  <c r="E44" i="15"/>
  <c r="E43" i="15"/>
  <c r="E42" i="15"/>
  <c r="E41" i="15"/>
  <c r="E40" i="15"/>
  <c r="E39" i="15"/>
  <c r="E37" i="15"/>
  <c r="E34" i="15"/>
  <c r="E33" i="15"/>
  <c r="E31" i="15"/>
  <c r="E30" i="15"/>
  <c r="E29" i="15"/>
  <c r="E28" i="15"/>
  <c r="E27" i="15"/>
  <c r="E26" i="15"/>
  <c r="E25" i="15"/>
  <c r="E24" i="15"/>
  <c r="E23" i="15"/>
  <c r="E22" i="15"/>
  <c r="E21" i="15"/>
  <c r="E20" i="15"/>
  <c r="E18" i="15"/>
  <c r="E17" i="15"/>
  <c r="E16"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15" i="15"/>
  <c r="E29" i="8" l="1"/>
  <c r="E28" i="8"/>
  <c r="E27" i="8"/>
  <c r="E25" i="8"/>
  <c r="E24" i="8"/>
  <c r="E23" i="8"/>
  <c r="E19" i="8"/>
  <c r="E18" i="8"/>
  <c r="E59" i="20"/>
  <c r="E57" i="20"/>
  <c r="E56" i="20"/>
  <c r="E51" i="20"/>
  <c r="E50" i="20"/>
  <c r="E48" i="20"/>
  <c r="E47" i="20"/>
  <c r="E45" i="20"/>
  <c r="E42" i="20"/>
  <c r="E41" i="20"/>
  <c r="E39" i="20"/>
  <c r="E38" i="20"/>
  <c r="E37" i="20"/>
  <c r="E36" i="20"/>
  <c r="E33" i="20"/>
  <c r="E32" i="20"/>
  <c r="E31" i="20"/>
  <c r="E26" i="20"/>
  <c r="E25" i="20"/>
  <c r="E24" i="20"/>
  <c r="E23" i="20"/>
  <c r="E22" i="20"/>
  <c r="E19" i="20"/>
  <c r="E16" i="20"/>
  <c r="E15" i="20"/>
  <c r="A16" i="20"/>
  <c r="A17" i="20"/>
  <c r="A18" i="20"/>
  <c r="A19" i="20"/>
  <c r="A20" i="20"/>
  <c r="A21" i="20"/>
  <c r="A22" i="20"/>
  <c r="A23" i="20"/>
  <c r="A24" i="20"/>
  <c r="A25" i="20"/>
  <c r="A26"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15" i="20"/>
  <c r="E17" i="5" l="1"/>
  <c r="A17" i="5"/>
  <c r="E16" i="5"/>
  <c r="E15" i="5"/>
  <c r="E77" i="3" l="1"/>
  <c r="A76" i="3"/>
  <c r="E78" i="3" l="1"/>
  <c r="A75" i="3" l="1"/>
  <c r="E74" i="3"/>
  <c r="E50" i="3"/>
  <c r="E30" i="3" l="1"/>
  <c r="E34" i="3"/>
  <c r="E32" i="3"/>
  <c r="E33" i="3"/>
  <c r="E27" i="3" l="1"/>
  <c r="E56" i="3" s="1"/>
  <c r="E68" i="3"/>
  <c r="E43" i="3"/>
  <c r="E17" i="3"/>
  <c r="E18" i="5"/>
  <c r="E20" i="5" s="1"/>
  <c r="E53" i="6"/>
  <c r="E56" i="6" s="1"/>
  <c r="A58" i="6"/>
  <c r="A57" i="6"/>
  <c r="A56" i="6"/>
  <c r="A55" i="6"/>
  <c r="A54" i="6"/>
  <c r="A53" i="6"/>
  <c r="A52" i="6"/>
  <c r="E51" i="6"/>
  <c r="E50" i="6"/>
  <c r="E48" i="6"/>
  <c r="E47" i="6"/>
  <c r="E46" i="6"/>
  <c r="E44" i="6"/>
  <c r="E43" i="6"/>
  <c r="E42" i="6"/>
  <c r="E41" i="6"/>
  <c r="A39" i="6"/>
  <c r="A40" i="6"/>
  <c r="A41" i="6"/>
  <c r="A42" i="6"/>
  <c r="A43" i="6"/>
  <c r="A44" i="6"/>
  <c r="A45" i="6"/>
  <c r="A46" i="6"/>
  <c r="A47" i="6"/>
  <c r="A48" i="6"/>
  <c r="A49" i="6"/>
  <c r="A51" i="6"/>
  <c r="A50" i="6"/>
  <c r="E38" i="6"/>
  <c r="E32" i="6"/>
  <c r="E21" i="6"/>
  <c r="E16" i="6"/>
  <c r="A55" i="4"/>
  <c r="E35" i="3" l="1"/>
  <c r="E54" i="6"/>
  <c r="E55" i="6"/>
  <c r="E35" i="4" l="1"/>
  <c r="E34" i="4"/>
  <c r="E33" i="4"/>
  <c r="E32" i="4"/>
  <c r="E31" i="4"/>
  <c r="E30" i="4"/>
  <c r="E29" i="4"/>
  <c r="A29" i="4"/>
  <c r="E28" i="4"/>
  <c r="A28" i="4"/>
  <c r="E27" i="4"/>
  <c r="E26" i="4"/>
  <c r="E25" i="4"/>
  <c r="E24" i="4"/>
  <c r="E23" i="4"/>
  <c r="H8" i="14"/>
  <c r="E22" i="4"/>
  <c r="E21" i="4"/>
  <c r="E20" i="4"/>
  <c r="E19" i="4"/>
  <c r="E18" i="4"/>
  <c r="S6" i="14" l="1"/>
  <c r="T6" i="14" s="1"/>
  <c r="S8" i="14"/>
  <c r="S10" i="14"/>
  <c r="S12" i="14"/>
  <c r="S13" i="14"/>
  <c r="S14" i="14"/>
  <c r="S15" i="14"/>
  <c r="S16" i="14"/>
  <c r="T16" i="14" s="1"/>
  <c r="S17" i="14"/>
  <c r="T17" i="14" s="1"/>
  <c r="S18" i="14"/>
  <c r="T18" i="14" s="1"/>
  <c r="S19" i="14"/>
  <c r="T19" i="14" s="1"/>
  <c r="S20" i="14"/>
  <c r="T20" i="14" s="1"/>
  <c r="S21" i="14"/>
  <c r="S22" i="14"/>
  <c r="S23" i="14"/>
  <c r="S24" i="14"/>
  <c r="S25" i="14"/>
  <c r="Q20" i="14"/>
  <c r="R20" i="14" s="1"/>
  <c r="P20" i="14"/>
  <c r="O20" i="14"/>
  <c r="L20" i="14"/>
  <c r="N20" i="14" s="1"/>
  <c r="K20" i="14"/>
  <c r="M20" i="14" s="1"/>
  <c r="H20" i="14"/>
  <c r="J20" i="14" s="1"/>
  <c r="C20" i="14"/>
  <c r="Q19" i="14"/>
  <c r="R19" i="14" s="1"/>
  <c r="P19" i="14"/>
  <c r="O19" i="14"/>
  <c r="L19" i="14"/>
  <c r="N19" i="14" s="1"/>
  <c r="K19" i="14"/>
  <c r="M19" i="14" s="1"/>
  <c r="H19" i="14"/>
  <c r="J19" i="14" s="1"/>
  <c r="C19" i="14"/>
  <c r="Q18" i="14"/>
  <c r="R18" i="14" s="1"/>
  <c r="P18" i="14"/>
  <c r="O18" i="14"/>
  <c r="L18" i="14"/>
  <c r="N18" i="14" s="1"/>
  <c r="K18" i="14"/>
  <c r="M18" i="14" s="1"/>
  <c r="H18" i="14"/>
  <c r="J18" i="14" s="1"/>
  <c r="C18" i="14"/>
  <c r="Q17" i="14"/>
  <c r="R17" i="14" s="1"/>
  <c r="P17" i="14"/>
  <c r="O17" i="14"/>
  <c r="L17" i="14"/>
  <c r="N17" i="14" s="1"/>
  <c r="K17" i="14"/>
  <c r="M17" i="14" s="1"/>
  <c r="H17" i="14"/>
  <c r="J17" i="14" s="1"/>
  <c r="C17" i="14"/>
  <c r="Q16" i="14"/>
  <c r="R16" i="14" s="1"/>
  <c r="P16" i="14"/>
  <c r="O16" i="14"/>
  <c r="L16" i="14"/>
  <c r="N16" i="14" s="1"/>
  <c r="K16" i="14"/>
  <c r="M16" i="14" s="1"/>
  <c r="H16" i="14"/>
  <c r="J16" i="14" s="1"/>
  <c r="C16" i="14"/>
  <c r="H11" i="14"/>
  <c r="E11" i="14"/>
  <c r="Q11" i="14" s="1"/>
  <c r="D11" i="14"/>
  <c r="L11" i="14" s="1"/>
  <c r="N11" i="14" s="1"/>
  <c r="T10" i="14"/>
  <c r="R10" i="14"/>
  <c r="Q10" i="14"/>
  <c r="P10" i="14"/>
  <c r="O10" i="14"/>
  <c r="L10" i="14"/>
  <c r="N10" i="14" s="1"/>
  <c r="K10" i="14"/>
  <c r="M10" i="14" s="1"/>
  <c r="H10" i="14"/>
  <c r="C10" i="14"/>
  <c r="H9" i="14"/>
  <c r="E9" i="14"/>
  <c r="R9" i="14" s="1"/>
  <c r="D9" i="14"/>
  <c r="L9" i="14" s="1"/>
  <c r="N9" i="14" s="1"/>
  <c r="R8" i="14"/>
  <c r="Q8" i="14"/>
  <c r="P8" i="14"/>
  <c r="O8" i="14"/>
  <c r="L8" i="14"/>
  <c r="N8" i="14" s="1"/>
  <c r="K8" i="14"/>
  <c r="M8" i="14" s="1"/>
  <c r="J8" i="14"/>
  <c r="C8" i="14"/>
  <c r="H7" i="14"/>
  <c r="E7" i="14"/>
  <c r="S7" i="14" s="1"/>
  <c r="D7" i="14"/>
  <c r="L7" i="14" s="1"/>
  <c r="N7" i="14" s="1"/>
  <c r="R6" i="14"/>
  <c r="Q6" i="14"/>
  <c r="P6" i="14"/>
  <c r="O6" i="14"/>
  <c r="L6" i="14"/>
  <c r="N6" i="14" s="1"/>
  <c r="K6" i="14"/>
  <c r="M6" i="14" s="1"/>
  <c r="H6" i="14"/>
  <c r="C6" i="14"/>
  <c r="D5" i="14"/>
  <c r="E5" i="14"/>
  <c r="H5" i="14"/>
  <c r="S4" i="14"/>
  <c r="T4" i="14" s="1"/>
  <c r="R4" i="14"/>
  <c r="Q4" i="14"/>
  <c r="P4" i="14"/>
  <c r="O4" i="14"/>
  <c r="L4" i="14"/>
  <c r="N4" i="14" s="1"/>
  <c r="K4" i="14"/>
  <c r="H4" i="14"/>
  <c r="J4" i="14" s="1"/>
  <c r="C4" i="14"/>
  <c r="A16" i="18"/>
  <c r="A17" i="18"/>
  <c r="A18" i="18"/>
  <c r="A19" i="18"/>
  <c r="A20" i="18"/>
  <c r="A21" i="18"/>
  <c r="A22" i="18"/>
  <c r="A23" i="18"/>
  <c r="A24" i="18"/>
  <c r="A25" i="18"/>
  <c r="A26" i="18"/>
  <c r="A27" i="18"/>
  <c r="A28" i="18"/>
  <c r="A29" i="18"/>
  <c r="A31" i="18"/>
  <c r="A32" i="18"/>
  <c r="A33" i="18"/>
  <c r="A34" i="18"/>
  <c r="A35" i="18"/>
  <c r="A36" i="18"/>
  <c r="A37" i="18"/>
  <c r="A38" i="18"/>
  <c r="A39" i="18"/>
  <c r="A40" i="18"/>
  <c r="A41" i="18"/>
  <c r="A42" i="18"/>
  <c r="A43" i="18"/>
  <c r="A44" i="18"/>
  <c r="A45" i="18"/>
  <c r="A46" i="18"/>
  <c r="A47" i="18"/>
  <c r="A48" i="18"/>
  <c r="A49" i="18"/>
  <c r="A50" i="18"/>
  <c r="A52" i="18"/>
  <c r="A53" i="18"/>
  <c r="A54" i="18"/>
  <c r="A55" i="18"/>
  <c r="A56" i="18"/>
  <c r="A57" i="18"/>
  <c r="A59" i="18"/>
  <c r="A60" i="18"/>
  <c r="A61" i="18"/>
  <c r="A62" i="18"/>
  <c r="A63" i="18"/>
  <c r="A64" i="18"/>
  <c r="A65" i="18"/>
  <c r="A66" i="18"/>
  <c r="S5" i="14" l="1"/>
  <c r="K5" i="14"/>
  <c r="L5" i="14"/>
  <c r="N5" i="14" s="1"/>
  <c r="M4" i="14"/>
  <c r="E14" i="4"/>
  <c r="E27" i="14"/>
  <c r="S9" i="14"/>
  <c r="S11" i="14"/>
  <c r="T8" i="14"/>
  <c r="R11" i="14"/>
  <c r="I18" i="14"/>
  <c r="I19" i="14"/>
  <c r="J11" i="14"/>
  <c r="R7" i="14"/>
  <c r="I17" i="14"/>
  <c r="I20" i="14"/>
  <c r="I16" i="14"/>
  <c r="I8" i="14"/>
  <c r="I10" i="14"/>
  <c r="C11" i="14"/>
  <c r="I11" i="14" s="1"/>
  <c r="J10" i="14"/>
  <c r="K11" i="14"/>
  <c r="M11" i="14" s="1"/>
  <c r="C9" i="14"/>
  <c r="I9" i="14" s="1"/>
  <c r="K9" i="14"/>
  <c r="M9" i="14" s="1"/>
  <c r="Q9" i="14"/>
  <c r="J9" i="14"/>
  <c r="I6" i="14"/>
  <c r="J6" i="14"/>
  <c r="J7" i="14"/>
  <c r="K7" i="14"/>
  <c r="M7" i="14" s="1"/>
  <c r="Q7" i="14"/>
  <c r="C7" i="14"/>
  <c r="I7" i="14" s="1"/>
  <c r="Q5" i="14"/>
  <c r="M5" i="14"/>
  <c r="R5" i="14"/>
  <c r="C5" i="14"/>
  <c r="I5" i="14" s="1"/>
  <c r="I4" i="14"/>
  <c r="J5" i="14"/>
  <c r="S27" i="14" l="1"/>
  <c r="E65" i="3" s="1"/>
  <c r="A15" i="18"/>
  <c r="E52" i="3" l="1"/>
  <c r="E53" i="3"/>
  <c r="A61" i="3"/>
  <c r="A60" i="3"/>
  <c r="A58" i="3"/>
  <c r="A57" i="3"/>
  <c r="A56" i="3"/>
  <c r="E36" i="6"/>
  <c r="E28" i="6"/>
  <c r="E27" i="6"/>
  <c r="A37" i="6"/>
  <c r="A36" i="6"/>
  <c r="E35" i="6"/>
  <c r="A35" i="6"/>
  <c r="A34" i="6"/>
  <c r="E33" i="6"/>
  <c r="A33" i="6"/>
  <c r="A32" i="6"/>
  <c r="E60" i="3" l="1"/>
  <c r="E37" i="6"/>
  <c r="E34" i="6"/>
  <c r="A74" i="3"/>
  <c r="E58" i="3" l="1"/>
  <c r="E61" i="3"/>
  <c r="E57" i="3"/>
  <c r="E59" i="3" s="1"/>
  <c r="A73" i="3"/>
  <c r="A58" i="4"/>
  <c r="A59" i="4"/>
  <c r="A60" i="4"/>
  <c r="A61" i="4"/>
  <c r="A57" i="4"/>
  <c r="A56" i="4"/>
  <c r="A54" i="4"/>
  <c r="A48" i="4"/>
  <c r="A49" i="4"/>
  <c r="A50" i="4"/>
  <c r="A51" i="4"/>
  <c r="A52" i="4"/>
  <c r="A53" i="4"/>
  <c r="E17" i="6" l="1"/>
  <c r="E24" i="5" l="1"/>
  <c r="R26" i="14"/>
  <c r="H26" i="14"/>
  <c r="J26" i="14" s="1"/>
  <c r="C26" i="14"/>
  <c r="Q25" i="14"/>
  <c r="L25" i="14"/>
  <c r="N25" i="14" s="1"/>
  <c r="K25" i="14"/>
  <c r="H25" i="14"/>
  <c r="C25" i="14"/>
  <c r="R25" i="14" l="1"/>
  <c r="M25" i="14"/>
  <c r="I26" i="14"/>
  <c r="I25" i="14"/>
  <c r="J25" i="14"/>
  <c r="Q24" i="14"/>
  <c r="R24" i="14" s="1"/>
  <c r="L24" i="14"/>
  <c r="K24" i="14"/>
  <c r="M24" i="14" s="1"/>
  <c r="H24" i="14"/>
  <c r="J24" i="14" s="1"/>
  <c r="C24" i="14"/>
  <c r="R23" i="14"/>
  <c r="L23" i="14"/>
  <c r="N23" i="14" s="1"/>
  <c r="K23" i="14"/>
  <c r="M23" i="14" s="1"/>
  <c r="H23" i="14"/>
  <c r="J23" i="14" s="1"/>
  <c r="C23" i="14"/>
  <c r="R22" i="14"/>
  <c r="L22" i="14"/>
  <c r="K22" i="14"/>
  <c r="M22" i="14" s="1"/>
  <c r="H22" i="14"/>
  <c r="J22" i="14" s="1"/>
  <c r="C22" i="14"/>
  <c r="Q21" i="14"/>
  <c r="R21" i="14" s="1"/>
  <c r="L21" i="14"/>
  <c r="N21" i="14" s="1"/>
  <c r="K21" i="14"/>
  <c r="M21" i="14" s="1"/>
  <c r="H21" i="14"/>
  <c r="J21" i="14" s="1"/>
  <c r="C21" i="14"/>
  <c r="I23" i="14" l="1"/>
  <c r="I24" i="14"/>
  <c r="I22" i="14"/>
  <c r="I21" i="14"/>
  <c r="Q15" i="14" l="1"/>
  <c r="R15" i="14" s="1"/>
  <c r="P15" i="14"/>
  <c r="O15" i="14"/>
  <c r="L15" i="14"/>
  <c r="N15" i="14" s="1"/>
  <c r="K15" i="14"/>
  <c r="M15" i="14" s="1"/>
  <c r="H15" i="14"/>
  <c r="J15" i="14" s="1"/>
  <c r="C15" i="14"/>
  <c r="C14" i="14"/>
  <c r="H14" i="14"/>
  <c r="J14" i="14" s="1"/>
  <c r="K14" i="14"/>
  <c r="M14" i="14" s="1"/>
  <c r="L14" i="14"/>
  <c r="N14" i="14" s="1"/>
  <c r="O14" i="14"/>
  <c r="P14" i="14"/>
  <c r="Q14" i="14"/>
  <c r="R14" i="14" s="1"/>
  <c r="T14" i="14"/>
  <c r="H13" i="14"/>
  <c r="K13" i="14"/>
  <c r="M13" i="14" s="1"/>
  <c r="L13" i="14"/>
  <c r="N13" i="14" s="1"/>
  <c r="O13" i="14"/>
  <c r="P13" i="14"/>
  <c r="Q13" i="14"/>
  <c r="R13" i="14" s="1"/>
  <c r="T13" i="14"/>
  <c r="E20" i="3"/>
  <c r="T15" i="14" l="1"/>
  <c r="I15" i="14"/>
  <c r="I14" i="14"/>
  <c r="J13" i="14"/>
  <c r="A15" i="16"/>
  <c r="C23" i="2" l="1"/>
  <c r="C79" i="21"/>
  <c r="C71" i="21"/>
  <c r="O68" i="21" l="1"/>
  <c r="H23" i="2" s="1"/>
  <c r="L68" i="21"/>
  <c r="I23" i="2" s="1"/>
  <c r="N68" i="21"/>
  <c r="G23" i="2" s="1"/>
  <c r="M68" i="21"/>
  <c r="F23" i="2" s="1"/>
  <c r="P68" i="21" l="1"/>
  <c r="N9" i="21" l="1"/>
  <c r="E23" i="2"/>
  <c r="A43" i="4"/>
  <c r="C20" i="2" l="1"/>
  <c r="C74" i="20"/>
  <c r="C66" i="20"/>
  <c r="A68" i="3"/>
  <c r="D34" i="3"/>
  <c r="N63" i="20" l="1"/>
  <c r="G20" i="2" s="1"/>
  <c r="L63" i="20"/>
  <c r="I20" i="2" s="1"/>
  <c r="O63" i="20" l="1"/>
  <c r="H20" i="2" s="1"/>
  <c r="L30" i="8" l="1"/>
  <c r="E39" i="6" l="1"/>
  <c r="A19" i="4"/>
  <c r="A20" i="4"/>
  <c r="A21" i="4"/>
  <c r="A22" i="4"/>
  <c r="A23" i="4"/>
  <c r="A24" i="4"/>
  <c r="A25" i="4"/>
  <c r="A26" i="4"/>
  <c r="A27" i="4"/>
  <c r="A31" i="4"/>
  <c r="A32" i="4"/>
  <c r="A33" i="4"/>
  <c r="A34" i="4"/>
  <c r="A35" i="4"/>
  <c r="A33" i="3"/>
  <c r="C70" i="18"/>
  <c r="C78" i="18"/>
  <c r="A31" i="6"/>
  <c r="A29" i="6"/>
  <c r="A28" i="6"/>
  <c r="A27" i="6"/>
  <c r="A24" i="6"/>
  <c r="A23" i="6"/>
  <c r="A22" i="6"/>
  <c r="A20" i="6"/>
  <c r="A19" i="6"/>
  <c r="A18" i="6"/>
  <c r="A17" i="6"/>
  <c r="A16" i="6"/>
  <c r="A15" i="6"/>
  <c r="A14" i="6"/>
  <c r="A24" i="5"/>
  <c r="A23" i="5"/>
  <c r="A22" i="5"/>
  <c r="A21" i="5"/>
  <c r="A20" i="5"/>
  <c r="E19" i="5"/>
  <c r="A19" i="5"/>
  <c r="A18" i="5"/>
  <c r="A16" i="5"/>
  <c r="A15" i="5"/>
  <c r="A14" i="5"/>
  <c r="A47" i="4"/>
  <c r="A46" i="4"/>
  <c r="A45" i="4"/>
  <c r="A44" i="4"/>
  <c r="A42" i="4"/>
  <c r="A41" i="4"/>
  <c r="A40" i="4"/>
  <c r="A39" i="4"/>
  <c r="A38" i="4"/>
  <c r="A37" i="4"/>
  <c r="A36" i="4"/>
  <c r="A18" i="4"/>
  <c r="A17" i="4"/>
  <c r="A16" i="4"/>
  <c r="A15" i="4"/>
  <c r="A14" i="4"/>
  <c r="E73" i="3"/>
  <c r="A55" i="3"/>
  <c r="A54" i="3"/>
  <c r="A53" i="3"/>
  <c r="A51" i="3"/>
  <c r="A48" i="3"/>
  <c r="A47" i="3"/>
  <c r="A45" i="3"/>
  <c r="A44" i="3"/>
  <c r="A42" i="3"/>
  <c r="A41" i="3"/>
  <c r="A40" i="3"/>
  <c r="A39" i="3"/>
  <c r="A38" i="3"/>
  <c r="A37" i="3"/>
  <c r="A35" i="3"/>
  <c r="D33" i="3"/>
  <c r="A29" i="3"/>
  <c r="A28" i="3"/>
  <c r="A27" i="3"/>
  <c r="A26" i="3"/>
  <c r="A25" i="3"/>
  <c r="A24" i="3"/>
  <c r="A23" i="3"/>
  <c r="A22" i="3"/>
  <c r="A21" i="3"/>
  <c r="A20" i="3"/>
  <c r="A19" i="3"/>
  <c r="A18" i="3"/>
  <c r="A17" i="3"/>
  <c r="A16" i="3"/>
  <c r="A15" i="3"/>
  <c r="A14" i="3"/>
  <c r="A32" i="3" l="1"/>
  <c r="A34" i="3"/>
  <c r="E25" i="6"/>
  <c r="E18" i="3"/>
  <c r="N67" i="18"/>
  <c r="G24" i="2" s="1"/>
  <c r="A38" i="6"/>
  <c r="E24" i="6"/>
  <c r="A26" i="6"/>
  <c r="A21" i="6"/>
  <c r="E23" i="6"/>
  <c r="E22" i="6"/>
  <c r="E19" i="6"/>
  <c r="E18" i="6"/>
  <c r="A25" i="6"/>
  <c r="A46" i="3"/>
  <c r="E15" i="3"/>
  <c r="A69" i="3"/>
  <c r="A66" i="3"/>
  <c r="A64" i="3"/>
  <c r="A72" i="3"/>
  <c r="A50" i="3"/>
  <c r="A49" i="3"/>
  <c r="A71" i="3"/>
  <c r="A67" i="3"/>
  <c r="A65" i="3"/>
  <c r="A63" i="3"/>
  <c r="A43" i="3"/>
  <c r="A70" i="3"/>
  <c r="A36" i="3"/>
  <c r="E23" i="3" l="1"/>
  <c r="E21" i="5"/>
  <c r="E22" i="5" s="1"/>
  <c r="E20" i="6"/>
  <c r="E16" i="3"/>
  <c r="E29" i="3"/>
  <c r="E28" i="3"/>
  <c r="E25" i="3" l="1"/>
  <c r="E24" i="3"/>
  <c r="E26" i="3" l="1"/>
  <c r="O67" i="18" l="1"/>
  <c r="H24" i="2" s="1"/>
  <c r="L67" i="18"/>
  <c r="I24" i="2" s="1"/>
  <c r="P67" i="18" l="1"/>
  <c r="E24" i="2" s="1"/>
  <c r="M67" i="18"/>
  <c r="F24" i="2" s="1"/>
  <c r="C24" i="2" l="1"/>
  <c r="C22" i="2"/>
  <c r="C21" i="2"/>
  <c r="C94" i="16" l="1"/>
  <c r="C86" i="16"/>
  <c r="O83" i="16"/>
  <c r="H22" i="2" s="1"/>
  <c r="N83" i="16"/>
  <c r="G22" i="2" s="1"/>
  <c r="L83" i="16"/>
  <c r="I22" i="2" s="1"/>
  <c r="C74" i="15"/>
  <c r="C66" i="15"/>
  <c r="O63" i="15"/>
  <c r="H21" i="2" s="1"/>
  <c r="N63" i="15"/>
  <c r="G21" i="2" s="1"/>
  <c r="L63" i="15"/>
  <c r="I21" i="2" s="1"/>
  <c r="C13" i="14"/>
  <c r="Q12" i="14"/>
  <c r="Q27" i="14" s="1"/>
  <c r="E63" i="3" s="1"/>
  <c r="P12" i="14"/>
  <c r="P27" i="14" s="1"/>
  <c r="E15" i="4" s="1"/>
  <c r="E16" i="4" s="1"/>
  <c r="O12" i="14"/>
  <c r="O27" i="14" s="1"/>
  <c r="E46" i="4" s="1"/>
  <c r="L12" i="14"/>
  <c r="K12" i="14"/>
  <c r="K27" i="14" s="1"/>
  <c r="H12" i="14"/>
  <c r="C12" i="14"/>
  <c r="V1" i="14"/>
  <c r="J12" i="14" l="1"/>
  <c r="H27" i="14"/>
  <c r="M12" i="14"/>
  <c r="M27" i="14" s="1"/>
  <c r="E36" i="3" s="1"/>
  <c r="E46" i="3" s="1"/>
  <c r="N12" i="14"/>
  <c r="L27" i="14"/>
  <c r="E45" i="4" s="1"/>
  <c r="E53" i="4" s="1"/>
  <c r="R12" i="14"/>
  <c r="R27" i="14" s="1"/>
  <c r="E64" i="3" s="1"/>
  <c r="T12" i="14"/>
  <c r="T27" i="14" s="1"/>
  <c r="E66" i="3" s="1"/>
  <c r="I13" i="14"/>
  <c r="E29" i="6"/>
  <c r="E30" i="6"/>
  <c r="E31" i="6"/>
  <c r="P83" i="16"/>
  <c r="M83" i="16"/>
  <c r="F22" i="2" s="1"/>
  <c r="I12" i="14"/>
  <c r="C19" i="2"/>
  <c r="N27" i="14" l="1"/>
  <c r="E47" i="4" s="1"/>
  <c r="I27" i="14"/>
  <c r="E49" i="3"/>
  <c r="E44" i="4"/>
  <c r="J27" i="14"/>
  <c r="E44" i="3"/>
  <c r="N9" i="16"/>
  <c r="E22" i="2"/>
  <c r="E36" i="4"/>
  <c r="N9" i="18"/>
  <c r="M63" i="15"/>
  <c r="F21" i="2" s="1"/>
  <c r="P63" i="15"/>
  <c r="E45" i="3" l="1"/>
  <c r="E52" i="4"/>
  <c r="E49" i="4"/>
  <c r="E50" i="4"/>
  <c r="E51" i="4"/>
  <c r="N9" i="15"/>
  <c r="E21" i="2"/>
  <c r="E42" i="4"/>
  <c r="E37" i="4"/>
  <c r="E39" i="4"/>
  <c r="E41" i="4" l="1"/>
  <c r="E38" i="4"/>
  <c r="E42" i="3"/>
  <c r="E40" i="3"/>
  <c r="E37" i="3"/>
  <c r="E39" i="3"/>
  <c r="E41" i="3"/>
  <c r="E38" i="3"/>
  <c r="E47" i="3"/>
  <c r="E48" i="3"/>
  <c r="A16" i="2"/>
  <c r="A17" i="2" s="1"/>
  <c r="A18" i="2" s="1"/>
  <c r="C76" i="21" l="1"/>
  <c r="C71" i="20"/>
  <c r="C75" i="18"/>
  <c r="C91" i="16"/>
  <c r="C71" i="15"/>
  <c r="E40" i="4"/>
  <c r="E51" i="3"/>
  <c r="E54" i="3"/>
  <c r="E55" i="3"/>
  <c r="A19" i="2"/>
  <c r="A20" i="2" s="1"/>
  <c r="B20" i="2" l="1"/>
  <c r="D1" i="20"/>
  <c r="A21" i="2"/>
  <c r="D1" i="15"/>
  <c r="D1" i="8"/>
  <c r="B19" i="2"/>
  <c r="C36" i="5"/>
  <c r="C33" i="5"/>
  <c r="C28" i="5"/>
  <c r="C70" i="6"/>
  <c r="C67" i="6"/>
  <c r="C62" i="6"/>
  <c r="C41" i="8"/>
  <c r="C38" i="8"/>
  <c r="C33" i="8"/>
  <c r="C73" i="4"/>
  <c r="C70" i="4"/>
  <c r="C65" i="4"/>
  <c r="C90" i="3"/>
  <c r="C87" i="3"/>
  <c r="C82" i="3"/>
  <c r="A37" i="2"/>
  <c r="O79" i="3" l="1"/>
  <c r="L79" i="3"/>
  <c r="M79" i="3"/>
  <c r="N79" i="3"/>
  <c r="A69" i="20"/>
  <c r="P10" i="20" s="1"/>
  <c r="A74" i="21"/>
  <c r="P10" i="21" s="1"/>
  <c r="B21" i="2"/>
  <c r="A22" i="2"/>
  <c r="A23" i="2" s="1"/>
  <c r="A24" i="2" s="1"/>
  <c r="A73" i="18"/>
  <c r="P10" i="18" s="1"/>
  <c r="A69" i="15"/>
  <c r="P10" i="15" s="1"/>
  <c r="A89" i="16"/>
  <c r="P10" i="16" s="1"/>
  <c r="A31" i="5"/>
  <c r="P10" i="5" s="1"/>
  <c r="A85" i="3"/>
  <c r="P10" i="3" s="1"/>
  <c r="A36" i="8"/>
  <c r="P10" i="8" s="1"/>
  <c r="A65" i="6"/>
  <c r="P10" i="6" s="1"/>
  <c r="A68" i="4"/>
  <c r="P10" i="4" s="1"/>
  <c r="D9" i="2"/>
  <c r="D8" i="2"/>
  <c r="D7" i="2"/>
  <c r="D6" i="2"/>
  <c r="P79" i="3" l="1"/>
  <c r="B23" i="2"/>
  <c r="D1" i="21"/>
  <c r="D6" i="20"/>
  <c r="D6" i="21"/>
  <c r="D5" i="20"/>
  <c r="D5" i="21"/>
  <c r="D7" i="20"/>
  <c r="D7" i="21"/>
  <c r="B22" i="2"/>
  <c r="D8" i="20"/>
  <c r="D8" i="21"/>
  <c r="D1" i="16"/>
  <c r="D7" i="16"/>
  <c r="D7" i="18"/>
  <c r="D7" i="15"/>
  <c r="D8" i="16"/>
  <c r="D8" i="15"/>
  <c r="D8" i="18"/>
  <c r="D5" i="16"/>
  <c r="D5" i="15"/>
  <c r="D5" i="18"/>
  <c r="D6" i="16"/>
  <c r="D6" i="18"/>
  <c r="D6" i="15"/>
  <c r="D7" i="8"/>
  <c r="D7" i="6"/>
  <c r="D7" i="5"/>
  <c r="D7" i="4"/>
  <c r="D8" i="8"/>
  <c r="D8" i="6"/>
  <c r="D8" i="5"/>
  <c r="D8" i="4"/>
  <c r="D5" i="8"/>
  <c r="D5" i="6"/>
  <c r="D5" i="5"/>
  <c r="D5" i="4"/>
  <c r="D6" i="8"/>
  <c r="D6" i="6"/>
  <c r="D6" i="5"/>
  <c r="D6" i="4"/>
  <c r="D6" i="3"/>
  <c r="D7" i="3"/>
  <c r="D5" i="3"/>
  <c r="D8" i="3"/>
  <c r="C18" i="2"/>
  <c r="C17" i="2"/>
  <c r="C16" i="2"/>
  <c r="C15" i="2"/>
  <c r="N25" i="5" l="1"/>
  <c r="G17" i="2" s="1"/>
  <c r="L25" i="5"/>
  <c r="I17" i="2" s="1"/>
  <c r="B24" i="2" l="1"/>
  <c r="D1" i="18"/>
  <c r="N59" i="6"/>
  <c r="G18" i="2" s="1"/>
  <c r="L59" i="6"/>
  <c r="I18" i="2" s="1"/>
  <c r="N30" i="8"/>
  <c r="G19" i="2" s="1"/>
  <c r="I19" i="2"/>
  <c r="M59" i="6"/>
  <c r="F18" i="2" s="1"/>
  <c r="M25" i="5"/>
  <c r="F17" i="2" s="1"/>
  <c r="M30" i="8"/>
  <c r="F19" i="2" s="1"/>
  <c r="O30" i="8" l="1"/>
  <c r="H19" i="2" s="1"/>
  <c r="P30" i="8"/>
  <c r="O59" i="6"/>
  <c r="H18" i="2" s="1"/>
  <c r="O25" i="5"/>
  <c r="H17" i="2" s="1"/>
  <c r="P25" i="5"/>
  <c r="P59" i="6"/>
  <c r="N9" i="6" s="1"/>
  <c r="N9" i="8" l="1"/>
  <c r="E19" i="2"/>
  <c r="E17" i="2"/>
  <c r="N9" i="5"/>
  <c r="B16" i="2"/>
  <c r="D1" i="4"/>
  <c r="B17" i="2"/>
  <c r="D1" i="5"/>
  <c r="E18" i="2"/>
  <c r="B18" i="2" l="1"/>
  <c r="D1" i="6"/>
  <c r="G15" i="2" l="1"/>
  <c r="F15" i="2" l="1"/>
  <c r="H15" i="2" l="1"/>
  <c r="N9" i="3"/>
  <c r="E15" i="2"/>
  <c r="B15" i="2" l="1"/>
  <c r="D1" i="3"/>
  <c r="P63" i="20" l="1"/>
  <c r="M63" i="20"/>
  <c r="F20" i="2" s="1"/>
  <c r="N9" i="20" l="1"/>
  <c r="E20" i="2"/>
  <c r="E48" i="4" l="1"/>
  <c r="N62" i="4" l="1"/>
  <c r="G16" i="2" s="1"/>
  <c r="G25" i="2" s="1"/>
  <c r="M62" i="4"/>
  <c r="F16" i="2" s="1"/>
  <c r="L62" i="4"/>
  <c r="I16" i="2" s="1"/>
  <c r="O62" i="4"/>
  <c r="H16" i="2" s="1"/>
  <c r="P62" i="4" l="1"/>
  <c r="E16" i="2" s="1"/>
  <c r="N9" i="4" l="1"/>
  <c r="I15" i="2"/>
  <c r="I25" i="2" s="1"/>
  <c r="D11" i="2" s="1"/>
  <c r="F25" i="2"/>
  <c r="H25" i="2"/>
  <c r="E25" i="2"/>
  <c r="E26" i="2" l="1"/>
  <c r="E27" i="2" s="1"/>
  <c r="E28" i="2"/>
  <c r="E29" i="2" l="1"/>
  <c r="D10" i="2" l="1"/>
  <c r="E31" i="2"/>
  <c r="C19" i="1" s="1"/>
  <c r="C20" i="1" s="1"/>
  <c r="C2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B13" authorId="0" shapeId="0" xr:uid="{00000000-0006-0000-00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Ar detalizēta informācija, par tāmju aizpildīšanu var iepazīties altum.lv
ALTUM Forma 2 sistēma atpazīst un darbojas tikai ar altum.lv publicētajām tāmju sagatavēm.
Tel. 67774064</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9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A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B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6" authorId="0" shapeId="0" xr:uid="{00000000-0006-0000-01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Ar detalizēta informācija, par tāmju aizpildīšanu var iepazīties altum.lv
ALTUM Forma 2 sistēma atpazīst un darbojas tikai ar altum.lv publicētajām tāmju sagatavēm.
Tel. 67774064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2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3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4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5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6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7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8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sharedStrings.xml><?xml version="1.0" encoding="utf-8"?>
<sst xmlns="http://schemas.openxmlformats.org/spreadsheetml/2006/main" count="1717" uniqueCount="566">
  <si>
    <t>APSTIPRINU</t>
  </si>
  <si>
    <t>(pasūtītāja paraksts un tā atsifrējums)</t>
  </si>
  <si>
    <t>Z.v.</t>
  </si>
  <si>
    <t>____________.gada____.____________</t>
  </si>
  <si>
    <t>Būvniecības koptāme</t>
  </si>
  <si>
    <t xml:space="preserve">Būves nosaukums: </t>
  </si>
  <si>
    <t xml:space="preserve">Objekta nosaukums: </t>
  </si>
  <si>
    <t xml:space="preserve">Objekta adrese: </t>
  </si>
  <si>
    <t xml:space="preserve">Pasūtījuma Nr: </t>
  </si>
  <si>
    <t>Nr. P.k.</t>
  </si>
  <si>
    <t>Objekta nosaukums</t>
  </si>
  <si>
    <t>Objekta izmaksas (EUR)</t>
  </si>
  <si>
    <t>Kopā:</t>
  </si>
  <si>
    <t>PVN (21%)</t>
  </si>
  <si>
    <t>Sastādīja</t>
  </si>
  <si>
    <t>(paraksts un tā atšifrējums, datums)</t>
  </si>
  <si>
    <t>Kopsavilkuma aprēķini pa darbu veidiem vai konstruktīvo elementu veidiem</t>
  </si>
  <si>
    <t>(darba veids vai konstruktīvā elementa nosaukums)</t>
  </si>
  <si>
    <t>Būves nosaukums:</t>
  </si>
  <si>
    <t>Objekta adrese:</t>
  </si>
  <si>
    <t>Pasūtījuma Nr.</t>
  </si>
  <si>
    <t>Par kopejo summu, EUR</t>
  </si>
  <si>
    <t>Kopējā darbietilpība, c/h</t>
  </si>
  <si>
    <t>Nr.p.k.</t>
  </si>
  <si>
    <t>kods; tāmes Nr:</t>
  </si>
  <si>
    <t>Darba veids vai konstruktīvā elementa nosaukums</t>
  </si>
  <si>
    <t>Tāmes izmaksas (EUR)</t>
  </si>
  <si>
    <t>Tai skaitā</t>
  </si>
  <si>
    <t>Darbietilpība (c/h)</t>
  </si>
  <si>
    <t>darba alga (EUR)</t>
  </si>
  <si>
    <t>materiāli (EUR)</t>
  </si>
  <si>
    <t>mehānismi (EUR)</t>
  </si>
  <si>
    <t>Kopā</t>
  </si>
  <si>
    <t xml:space="preserve">Virsizdevumi </t>
  </si>
  <si>
    <t>t.sk.darba aizsardzība</t>
  </si>
  <si>
    <t xml:space="preserve">Peļņa </t>
  </si>
  <si>
    <t>Pavisam kopā</t>
  </si>
  <si>
    <t>Pārbaudīja</t>
  </si>
  <si>
    <t xml:space="preserve">Lokālā tāme Nr. </t>
  </si>
  <si>
    <t>Tāmes  izmaksas  EUR</t>
  </si>
  <si>
    <t>Kods</t>
  </si>
  <si>
    <t>Darba nosaukums</t>
  </si>
  <si>
    <t>Mērvienība</t>
  </si>
  <si>
    <t>Daudzums</t>
  </si>
  <si>
    <t>Vienības izmaksas</t>
  </si>
  <si>
    <t>Kopā uz visu apjomu</t>
  </si>
  <si>
    <t>Laika norma (c/h)</t>
  </si>
  <si>
    <t>Darba samaksas likme (EUR/h)</t>
  </si>
  <si>
    <t>Darba alga (EUR)</t>
  </si>
  <si>
    <t>Būvizstrādājumi (EUR)</t>
  </si>
  <si>
    <t>Mehānismi (EUR)</t>
  </si>
  <si>
    <t>Kopā (EUR)</t>
  </si>
  <si>
    <t>Attiecināmās izmaksas</t>
  </si>
  <si>
    <t>Sertifikāta Nr.</t>
  </si>
  <si>
    <t>Sertifikāta Nr</t>
  </si>
  <si>
    <t>Dzīvojamās ēkas vienkāršotā atjaunošana</t>
  </si>
  <si>
    <t>Daudzdzīvokļu dzīvojamās ēkas energoefektivitātes paaugstināšanas pasākumi</t>
  </si>
  <si>
    <t>Ievērībai!</t>
  </si>
  <si>
    <t>Pretendents ir tiesīgs izmantot tikai Pasūtītāja pievienoto būvizmaksu noteikšanas tāmes veidni.</t>
  </si>
  <si>
    <t>Finanšu rezerve</t>
  </si>
  <si>
    <t>Kopā ar finanšu rezervi</t>
  </si>
  <si>
    <t>m2</t>
  </si>
  <si>
    <t>Pagraba siltināšana</t>
  </si>
  <si>
    <t>Piezīme:</t>
  </si>
  <si>
    <t>• Siltināšanas un apmešanas darbi veicami saskaņā ar ETAG 004 „Eiropas tehniskā apstiprinājuma pamatnostādne ārējās siltumizolācijas sistēmām un
 apmetumam”.</t>
  </si>
  <si>
    <t xml:space="preserve">• Visiem būvmateriāliem jābūt marķētiem ar CE zīmi. </t>
  </si>
  <si>
    <t>Fasādes atjaunošana</t>
  </si>
  <si>
    <t>Apkures sistēmas atjaunošana</t>
  </si>
  <si>
    <t>Perimetrs lentei, m</t>
  </si>
  <si>
    <t>aiļu apdares m², ailes platums</t>
  </si>
  <si>
    <t>palodzes, m</t>
  </si>
  <si>
    <t>Profili, m</t>
  </si>
  <si>
    <t>ALB-EB / Cokola profils 0,8 mm un 1.0 mm</t>
  </si>
  <si>
    <t>ALB-EW-US(01)-20 / Palodzes montāžas profils ar sietu</t>
  </si>
  <si>
    <t>ALB-EW-CS(01)-20 / Palodzes sāna pieslēguma profils</t>
  </si>
  <si>
    <t>tips</t>
  </si>
  <si>
    <t>skaits</t>
  </si>
  <si>
    <t>Loga izmērs, m</t>
  </si>
  <si>
    <t>Logu platība m²</t>
  </si>
  <si>
    <t>ārējās</t>
  </si>
  <si>
    <t>iekšējās</t>
  </si>
  <si>
    <t>esošie PVC</t>
  </si>
  <si>
    <t>maināmie koka</t>
  </si>
  <si>
    <t>kopā</t>
  </si>
  <si>
    <t>L</t>
  </si>
  <si>
    <t>h</t>
  </si>
  <si>
    <t>1.gb.</t>
  </si>
  <si>
    <t>hidroizolācijas</t>
  </si>
  <si>
    <t>difūzijas</t>
  </si>
  <si>
    <t>S1 Vieglbetona paneļu ārējās sienas siltinājums</t>
  </si>
  <si>
    <t>S2 Pamatu sienu siltinājums</t>
  </si>
  <si>
    <t>Logu nomaiņa</t>
  </si>
  <si>
    <t>Cokola siltināšana</t>
  </si>
  <si>
    <t>līg.c.</t>
  </si>
  <si>
    <t>Metāla nožogojuma montāža, h=2,0 m</t>
  </si>
  <si>
    <t>m</t>
  </si>
  <si>
    <t>Žogs 3,5×2m</t>
  </si>
  <si>
    <t>gb</t>
  </si>
  <si>
    <t>Pēda</t>
  </si>
  <si>
    <t>Sastatņu montēšana</t>
  </si>
  <si>
    <t>m²</t>
  </si>
  <si>
    <t>Sastatnes</t>
  </si>
  <si>
    <t>Moduļu tualetes uzstādīšana</t>
  </si>
  <si>
    <t>Tualetes izvešana</t>
  </si>
  <si>
    <t>reizes</t>
  </si>
  <si>
    <t>Moduļu mājas uzstādīšana. Paredzēts 24 cilvēkiem.</t>
  </si>
  <si>
    <t>Ārsienas sagatavošana siltināšanai - virsmu notīrīšana un gruntēšana</t>
  </si>
  <si>
    <t>kg</t>
  </si>
  <si>
    <t>l</t>
  </si>
  <si>
    <t>Ārsienu  siltināšana ar akmensvati līmējot un piestiprinot to pie ārsienas ar mehāniskajiem stiprinājumiem</t>
  </si>
  <si>
    <t>gab</t>
  </si>
  <si>
    <t>Siltumizolācija sienām</t>
  </si>
  <si>
    <t>Siets stikla šķiedra</t>
  </si>
  <si>
    <t>Blīvējošās lentas montēšana ap logu ailām u.c. vietām.</t>
  </si>
  <si>
    <t>Paligmateriāli</t>
  </si>
  <si>
    <t>komp</t>
  </si>
  <si>
    <t>Zemapmetuma PVC  ārējā stūra profila montāža</t>
  </si>
  <si>
    <t>Iekšējo stūru armējums visā ēkas augstumā</t>
  </si>
  <si>
    <t>Metāla karoga kāta turētāja montāža</t>
  </si>
  <si>
    <t>Būvgružu savākšana un aizvešana</t>
  </si>
  <si>
    <t>m³</t>
  </si>
  <si>
    <t>Gružu konteiners</t>
  </si>
  <si>
    <t>Esošo koka logu, tsk. ārdurvju demontāža</t>
  </si>
  <si>
    <t>Esošo skārda āra palodžu demontāža, b=0,25.</t>
  </si>
  <si>
    <t>montāžas skavas</t>
  </si>
  <si>
    <t>dibeļi</t>
  </si>
  <si>
    <t>skrūves</t>
  </si>
  <si>
    <t>palodzes profils</t>
  </si>
  <si>
    <t>kmpl</t>
  </si>
  <si>
    <t>Jaunu iekštelpu PVC palodžu montēšana, b=350mm.</t>
  </si>
  <si>
    <t>Apmetuma atjaunošana pēc logu nomaiņas telpu iekšpusē, remonts ap logu ailu.</t>
  </si>
  <si>
    <t>šinas</t>
  </si>
  <si>
    <t>reģipsis</t>
  </si>
  <si>
    <t>vate</t>
  </si>
  <si>
    <t>perfix</t>
  </si>
  <si>
    <t>krāsa</t>
  </si>
  <si>
    <t>Līmlente</t>
  </si>
  <si>
    <t>Nozāģēto sieniņu enkurošana pie griestiem (precizēt uz vietas)</t>
  </si>
  <si>
    <t>Dzelzsbetona pārsegumu notīrīšana, izlīdzināšana, sagatavošana siltināšanai</t>
  </si>
  <si>
    <t>Siltumizolācija</t>
  </si>
  <si>
    <t>Cokola apmetuma nokalšana</t>
  </si>
  <si>
    <t>Grunts rakšanas darbi 1,2m dziļumā,1000 mm platumā</t>
  </si>
  <si>
    <t>Cokola sienas sagatavošana siltināšanai - virsmu notīrīšana un gruntēšana,</t>
  </si>
  <si>
    <t>Jaunas šķidrās hidroizolācijas uzklāšana  visā siltinājuma augstumā</t>
  </si>
  <si>
    <t>Atrakto vietu aizbēršana ar esošo minerālgrunti</t>
  </si>
  <si>
    <t>Cementa bāzes hidroizolācijas l=375*mm ieklāšana cokola daļā</t>
  </si>
  <si>
    <t>kpl</t>
  </si>
  <si>
    <t>Logu un durvju montāžas palīgmateriāli uz  apjomu</t>
  </si>
  <si>
    <t>Veicamie darbi lodžiju jumtu atjaunošanai, jumtiņu siltināšana virs 5.stāva dzīvokļiem izvirzījuma zonā</t>
  </si>
  <si>
    <t>L4</t>
  </si>
  <si>
    <t>L5</t>
  </si>
  <si>
    <t>L6</t>
  </si>
  <si>
    <t>L7</t>
  </si>
  <si>
    <t>L8</t>
  </si>
  <si>
    <t>L9</t>
  </si>
  <si>
    <t>L10</t>
  </si>
  <si>
    <t>D1</t>
  </si>
  <si>
    <t>D2</t>
  </si>
  <si>
    <t>D3</t>
  </si>
  <si>
    <t>D4</t>
  </si>
  <si>
    <t>L11</t>
  </si>
  <si>
    <t>L12</t>
  </si>
  <si>
    <t>D5</t>
  </si>
  <si>
    <t>D6</t>
  </si>
  <si>
    <t>Betona plātņu demontāža</t>
  </si>
  <si>
    <t xml:space="preserve">S5
Bēniņu stāva siltinājums </t>
  </si>
  <si>
    <t>Cokola apmešana ar apmetumu uz minerālšķiedru sieta (b=7mm) un krāsošana - AS-1</t>
  </si>
  <si>
    <t>Cokola apmešana ar apmetumu uz minerālšķiedru sieta (b=7mm) un krāsošana - AS-2</t>
  </si>
  <si>
    <t>Siets stikla šķiedra (divas kārtas)</t>
  </si>
  <si>
    <t>apmetums</t>
  </si>
  <si>
    <t>Armējošā stikla šķiedras siets divās kārtās</t>
  </si>
  <si>
    <t>Armējošā stikla šķiedras siets vienā kārtā</t>
  </si>
  <si>
    <t>Stūra profils ar armējumu visā augstumā visos ārējos ēkas stūros</t>
  </si>
  <si>
    <t>Cauruļvada Dn40 siltumizolācijas čaula, b=&gt;50 mm, l= 0.040 W/K×m², caurules siltumizolēšana</t>
  </si>
  <si>
    <t>Cauruļvada Dn32 siltumizolācijas čaula, b=&gt;50 mm, l= 0.040 W/K×m², caurules siltumizolēšana</t>
  </si>
  <si>
    <t>Cauruļvadu un pievienojumu fasondetaļas un veidgabali</t>
  </si>
  <si>
    <t>Ventilācijas sistēma</t>
  </si>
  <si>
    <t>Dzērves iela 23, Liepāja</t>
  </si>
  <si>
    <t>EA-14-17/WOOS</t>
  </si>
  <si>
    <t>Daudzdzīvokļu dzīvojamās ēkas Dzērves ielā 23, Liepājā, energoefektivitātes paaugstināšanas pasākumi</t>
  </si>
  <si>
    <t>Apkure. Koplietošanas cauruļvadi. Pagrabs</t>
  </si>
  <si>
    <t>Polipropilēna caurule apkurei Dn40, montāža, stiprināšana pie sienas/griestiem</t>
  </si>
  <si>
    <t>Polipropilēna caurule apkurei Dn32, montāža, stiprināšana pie sienas/griestiem</t>
  </si>
  <si>
    <t>Polipropilēna caurule apkurei Dn25, montāža, stiprināšana pie sienas</t>
  </si>
  <si>
    <t>Polipropilēna caurule apkurei Dn20, montāža, stiprināšana pie sienas</t>
  </si>
  <si>
    <t>Polipropilēna caurule apkurei Dn15, montāža, stiprināšana pie sienas</t>
  </si>
  <si>
    <t>Polipropilēna caurules, trejgabals Dn 40, montāža</t>
  </si>
  <si>
    <t>Polipropilēna caurules, trejgabals Dn 32, montāža</t>
  </si>
  <si>
    <t>PPR caurules Dn40/32 trejgabals, montāza</t>
  </si>
  <si>
    <t>PPR caurules, Dn 25 trejgabals, montāža</t>
  </si>
  <si>
    <t>PPR caurules, Dn 20 trejgabals, montāža</t>
  </si>
  <si>
    <t>PPR caurules, Dn 15 trejgabals, montāža</t>
  </si>
  <si>
    <t>PPR caurules, pagrieziens 90°, Dn15÷Dn25, montāža</t>
  </si>
  <si>
    <t>PPR caurules, diametru maiņa Dn40→Dn32, montāža</t>
  </si>
  <si>
    <t>PPR caurules, diametru maiņa Dn32→Dn25, montāža</t>
  </si>
  <si>
    <t>PPR caurules, diametru maiņa Dn25→Dn20, montāža</t>
  </si>
  <si>
    <t>PPR caurules, diametru maiņa Dn20→Dn15, montāža</t>
  </si>
  <si>
    <t>pāreja PE-Cu, Dn 15, montāža (mufe)</t>
  </si>
  <si>
    <t>pāreja PE-Cu, Dn 20, montāža (mufe)</t>
  </si>
  <si>
    <t>PPR caurules, DN 40 pagrieziens, 90°, montāža</t>
  </si>
  <si>
    <t>PPR caurules, DN 32 pagrieziens, 90°, montāža</t>
  </si>
  <si>
    <t>Ventilis lodveida; t=110 °C; P=8 bar; Dn40</t>
  </si>
  <si>
    <t>Ventilis lodveida; t=110 °C; P=8 bar; Dn32</t>
  </si>
  <si>
    <t>Ventilis lodveida; t=110 °C; P=8 bar; Dn20</t>
  </si>
  <si>
    <t>Ventilis lodveida; t=110 °C; P=8 bar; Dn15</t>
  </si>
  <si>
    <t>Cauruļvada Dn25 siltumizolācijas čaula, b=&gt;50 mm, l= 0.040 W/K×m², caurules siltumizolēšana</t>
  </si>
  <si>
    <t>Cauruļvada Dn20 siltumizolācijas čaula, b=&gt;50 mm, l= 0.040 W/K×m², caurules siltumizolēšana</t>
  </si>
  <si>
    <t>Cauruļvada Dn15 siltumizolācijas čaula, b=&gt;50 mm, l= 0.040 W/K×m², caurules siltumizolēšana</t>
  </si>
  <si>
    <t>Cauruļvada Dn40 slīdošais balsts (termokompensācijas čaula), izbūve caur  griestiem, hermetizācija, apmetuma un krāsojuma atjaunošana</t>
  </si>
  <si>
    <t>Cauruļvada Dn32 slīdošais balsts (termokompensācijas čaula), izbūve caur  griestiem, hermetizācija, apmetuma un krāsojuma atjaunošana</t>
  </si>
  <si>
    <t>Cauruļvada Dn25 slīdošais balsts (termokompensācijas čaula), izbūve caur  griestiem, hermetizācija, apmetuma un krāsojuma atjaunošana</t>
  </si>
  <si>
    <t>Cauruļvada Dn20 slīdošais balsts (termokompensācijas čaula), izbūve caur  griestiem, hermetizācija, apmetuma un krāsojuma atjaunošana</t>
  </si>
  <si>
    <t>Cauruļvada Dn15 slīdošais balsts (termokompensācijas čaula), izbūve caur  griestiem, hermetizācija, apmetuma un krāsojuma atjaunošana</t>
  </si>
  <si>
    <t>Dzīvokļu apkure</t>
  </si>
  <si>
    <t>Vara caurule apkurei, Dn20, montāža, stiprināšana pie sienas, ar fasondetaļām</t>
  </si>
  <si>
    <t>Vara caurule apkurei, Dn15, montāža, stiprināšana pie sienas, ar fasondetaļām</t>
  </si>
  <si>
    <t>Montāžas palīgmateriāli</t>
  </si>
  <si>
    <t>Dn15 cauruļvadu iegremdēšana grīdas rievā</t>
  </si>
  <si>
    <t>L1</t>
  </si>
  <si>
    <t>L1 durvis</t>
  </si>
  <si>
    <t>L2</t>
  </si>
  <si>
    <t>L2 durvis</t>
  </si>
  <si>
    <t>L3</t>
  </si>
  <si>
    <t>L3 durvis</t>
  </si>
  <si>
    <t>L4 durvis</t>
  </si>
  <si>
    <t>L13</t>
  </si>
  <si>
    <t>L1 (logs 1,7×1,45m; durvis 0,7×2,3m)</t>
  </si>
  <si>
    <t>L2 (logs 1,7×1,45m; durvis 0,7×2,3m)</t>
  </si>
  <si>
    <t>L3 (logs 1,14×1,45m; durvis 0,7×2,3m)</t>
  </si>
  <si>
    <t>L4 (logs 1,14×1,45m; durvis 0,7×2,3m)</t>
  </si>
  <si>
    <t>L5; 1,14×1,45m</t>
  </si>
  <si>
    <t>L6; 1,52×1,45m</t>
  </si>
  <si>
    <t>L7; 1,33×1,45m</t>
  </si>
  <si>
    <t>L8; 2,37×1,45m</t>
  </si>
  <si>
    <t>L9; 1,75×1,45m</t>
  </si>
  <si>
    <t>L10; 1,15×0,45m</t>
  </si>
  <si>
    <t>L11; 2,37×1,45m</t>
  </si>
  <si>
    <t>L13; 3,3×1,45m</t>
  </si>
  <si>
    <t>D1; 0,7×2,3m</t>
  </si>
  <si>
    <t>D2; 0,9×2,0m. Projektētas cinkotas tērauda (ar karsto cinkošanu)  ārdurvis ar siltinājumu, rokturi, vēdināšanas žalūziju durvju augšējā daļā, eņģēm, ar  speciālām  blīvgumijām un piedurlīstēm. Tonis: skatīt krāsu pasē
 Rāmja siltumcaurlaidības koef.:1.6w/m²*K</t>
  </si>
  <si>
    <t xml:space="preserve">D3; 1,26×2,0m. Alumīnija konstrukcijas  ārdurvis ar siltinājumu, rokturi, eņģēm, ar pašaizvēršanās mehānismu, speciālām  blīvgumijām un piedurlīstēm, vienpuktu slēdzeni un mehānisko koda atslēgu un čipa atslēgu, ar stiklojumu 0,8x0,4m, Siltuma caurlaidības koef. Uw: 1,6w/m²xK
tonis: skat krāsu pasē </t>
  </si>
  <si>
    <t>D4; 1,1×1,9m. Pagraba durvis,  skat pagraba plāna lapā Projektētas cinkotas tērauda (ar karsto cinkošanu)  ārdurvis ar siltinājumu, rokturi, vēdināšanas žalūziju durvju augšējā daļā, eņģēm, ar  speciālām  blīvgumijām un piedurlīstēm. Tonis: skatīt krāsu pasē</t>
  </si>
  <si>
    <t xml:space="preserve">D5; 2,53×2,9m. Alumīnija konstrukcijas  ārdurvju bloks ar siltinājumu, rokturi, eņģēm, ar pašaizvēršanās mehānismu, speciālām  blīvgumijām un piedurlīstēm, vienpuktu slēdzeni un mehānisko čipa atslēgu, ar stiklojumu 0,8x0,4m, Siltuma caurlaidības koef. Uw: 1,6w/m²xK
tonis: skat krāsu pasē </t>
  </si>
  <si>
    <t>Ventilācijas vārsts, uzstādāms ieskštelpu istabu logos (esošajām un maināmajām) , Tehniskie parametri: gaisa caurlaidība pie ārējā spiediena 10Pa 32m³/h, ar filtru 26m³/h, 32db. Logu ventilācijas vārsti ar iestrādi blīvgumijās paredzēti logu blokos L1; L2; L3; L4; L5 vienā logā (dzīvoklis Nr.50 starp asīm "9-10"); L6; L7; L8; L9; L11, durvīs D1. Vārsti paredzēti gan jaunajās, gan esošajās PVC konstrukcijās - katrā 1gb</t>
  </si>
  <si>
    <t>PVC uzlikas logiem 1400×150mm</t>
  </si>
  <si>
    <t>Vēdināšanas atvērumu R1 izveidošana virtuvju sienās 100×100mm. Iekārtas skat AVK daļā.</t>
  </si>
  <si>
    <t>Vēdināšanas atvērumu R2 izveidošana 200×200mm un vēdināšanas cinkota žalūzija bēniņu sienās 250×250mm</t>
  </si>
  <si>
    <t>Vēdināšanas atvērumu R3 izveidošana 240×240mm un vēdināšanas cinkota žalūzija pagraba sienās 280×280mm</t>
  </si>
  <si>
    <t>Demontējami lodžiju stiklojumi 1580×6080mm, saskaņā ar AR-4</t>
  </si>
  <si>
    <t>Demontējami lodžiju stiklojumi 1580×6240mm, saskaņā ar AR-4</t>
  </si>
  <si>
    <t>Demontējami lodžiju stiklojumi 1580×2790mm, saskaņā ar AR-4</t>
  </si>
  <si>
    <t>Demontējami lodžiju stiklojumi 1580×3040mm, saskaņā ar AR-4</t>
  </si>
  <si>
    <t>Jauna monolītā betona lietus ūdens novadīšanas apmale</t>
  </si>
  <si>
    <t>Monolītais betons B15; Veidot deformācijas šuvi ik pēc 2.0 m, b=100mm</t>
  </si>
  <si>
    <t>siets F50 klases ∅6; 100x100 stiegrojumu.</t>
  </si>
  <si>
    <t>Vidēji rupjas smilts sagatavošanas kārta,    b=100mm</t>
  </si>
  <si>
    <t xml:space="preserve">Šķembas (fr.40-70mm) kārtas ieklāšana 100mm </t>
  </si>
  <si>
    <t>Oļu pabērums zem lodžijām</t>
  </si>
  <si>
    <t>Bortakmens oļu pabērumam 80×200×1000</t>
  </si>
  <si>
    <t>Pagraba logu ailas daļas aizmūrīšana, h=750*mm, b=250mm, 9gb</t>
  </si>
  <si>
    <t xml:space="preserve">Java </t>
  </si>
  <si>
    <t>ķieģeļi</t>
  </si>
  <si>
    <t>Pagraba logu šahtu aizbēršana ar minerālgrunti</t>
  </si>
  <si>
    <t>Pagraba šahtu betona elementu demontāža</t>
  </si>
  <si>
    <t>bortakmens   80×200×1000</t>
  </si>
  <si>
    <t>betons B7,5</t>
  </si>
  <si>
    <t>šķembas fr.0-40mm biezums 150mm</t>
  </si>
  <si>
    <t>ģeotekstila plēves iesegums 3mm</t>
  </si>
  <si>
    <t>oļi</t>
  </si>
  <si>
    <t>Gaismas akas cokola daļā aizmūrēšana (12 gb.):</t>
  </si>
  <si>
    <t>Skārda palodžu elementu demontāža (starp logu ailām)</t>
  </si>
  <si>
    <t xml:space="preserve">S3
Lodžiju starpsienu siltinājums </t>
  </si>
  <si>
    <t>Likvidējami koki, Ø30mm</t>
  </si>
  <si>
    <t>litri</t>
  </si>
  <si>
    <t>Apmetums</t>
  </si>
  <si>
    <t>dziļumgrunts</t>
  </si>
  <si>
    <t>Lodžiju margas plātnes papildus gruntēšana un apmešana</t>
  </si>
  <si>
    <t>Ārējo palodžu - skārda, montēšana  b=0,5m</t>
  </si>
  <si>
    <t>D6; 0,9×1,8m.Durvis uz bēniņiem
Cinkotas krāsotas metāla durvis ar ugunsizturību EI30, automātisko pašaizvēršanās mehānismu. Ugunsdrošo durvju vienpunkta slēdzene un viras izgatavo no materiāla, kas nodrošina ugunsizturīgām konstrukcijām izvirzīto prasību minimālāko pakāpi. Nepieciešamo hermētiskumu nodrošina speciālas ugunsizturīgas blīvgumijas, kas izvietotas pa durvju kārbas perimetru. 
Rāmja siltumcaurlaidības koef.:1.6w/m²*K</t>
  </si>
  <si>
    <t>Papildus armējums apkārt  loga un durvju  ailām ar sietu , platums=0,3×0,5m, b=3mm</t>
  </si>
  <si>
    <t>Demontējamas koka konstrukciju sieniņas pagrabā saskaņā ar TAA-2, L=80m; h=2,0m</t>
  </si>
  <si>
    <t>Esošo koku k-ciju augšdaļas nozāģēšana par 0,15m (precizēt uz vietas), kop L=72m, saskaņā ar TAA-2</t>
  </si>
  <si>
    <t>Materiāli un veicamo darbu apjomi lodžiju paneļu virsmas un margu detaļu atjaunošanai</t>
  </si>
  <si>
    <t>Sagatavošanas darbi lodžiju jumtu atjaunošanai (ieskaitot dzīvokļu jumtiņus)</t>
  </si>
  <si>
    <t>Esošās ruberoīda virsmas notīrīšana no gružiem, sūnām, izlīdzināšana pēc izvērtējuma,  l=149,4+14,1; b=1,5m</t>
  </si>
  <si>
    <t>Skārda apšuvuma noņemšana no lodžiju jumtu pieslēgumiem (tai sk.sāniem), b=300, kop.Perim=296,3 m</t>
  </si>
  <si>
    <t>Lodžiju jumtu betona ārmalas remonts, h=250, apakšas b=300 (L=136,2m), tais skaitā lodžiju sāni (L=27m)</t>
  </si>
  <si>
    <t>Esošā jumta seguma izfrēzēšana mūrējamo sieniņu zonā, b=200, L=1,2x2+2,94=5,34 m; 1m² uz jumtiņu</t>
  </si>
  <si>
    <t>Būvkalumi ar ribu - 2,5x90x106x106, s=500; mūra enkurošanai pie jumta; 9 gb uz jumtiņu</t>
  </si>
  <si>
    <t>Ķīļenkuri M10x90, 2 gab uz būvkalumu betona un mūra virsmā</t>
  </si>
  <si>
    <t>Cementa javas slīpinājuma izveidošana, 0÷50 mm uz esoša jumta seguma; 0,066 m³ uz jumtiņu</t>
  </si>
  <si>
    <t xml:space="preserve">Slīpinājuma detaļa, 50x50,  sānu malās, 2,4 m uz jumtiņu </t>
  </si>
  <si>
    <t>Dzīvokļu jumtiņu parapeta  apdare; b=200,  l=3,14 m:</t>
  </si>
  <si>
    <t xml:space="preserve">  * mūra sieniņas apmetums no jumta puses, 0,6 m² ; fasādes pusē 1,9 m²; krāsojums pēc AR</t>
  </si>
  <si>
    <t xml:space="preserve">  * liekta metāla detaļa -4x40, kop. l=450, s=500, enkurota uz parapeta, 6 gb uz jumtiņu, kopā 18 gb </t>
  </si>
  <si>
    <t xml:space="preserve">  * metāla detaļu pretkorozijas krāsojums</t>
  </si>
  <si>
    <t xml:space="preserve">  * ķīļenkuri M8x75, 2 gab uz detaļu</t>
  </si>
  <si>
    <t xml:space="preserve">  * ap enkurdetaļu aplocīts rūpnieciski krāsots skārds, b=500, l=3,41 m</t>
  </si>
  <si>
    <t>Dzīvokļu jumtiņu seguma pieslēgums pie ārsienas, L=3,14 (augša)+0,5 m( sāni)</t>
  </si>
  <si>
    <t xml:space="preserve">   * papildus seguma kārtas pie sienas pieslēguma, kop.b=0.65+0.45 m, L=3,14 m</t>
  </si>
  <si>
    <t xml:space="preserve">   * cinkota skārda noseglīste, b=100, pašurbjoša enkurojuma Ø6x80*, solis 200 </t>
  </si>
  <si>
    <t xml:space="preserve">   * cokola profils zem ārsienas siltinājuma S5 (b=50 mm) gar siltināto jumtu</t>
  </si>
  <si>
    <t xml:space="preserve">   * hermetizēta šuve gar pieslēgumu</t>
  </si>
  <si>
    <t>Seguma atjaunošana lodžiju jumtiņiem (norādes skat.lapā BK-4, BK-5)</t>
  </si>
  <si>
    <t>Lodžiju jumtu dzegas  un sānu malu apdare, kop. Ldzega=136,2 m, Lsāni=27m, biezums 250mm :</t>
  </si>
  <si>
    <t xml:space="preserve">   * metāla enkurdetaļa -4x40, l=250, s=500, pa jumta perimetru, stiprināt pie paneļa  fasādes virsmas, 326 gb</t>
  </si>
  <si>
    <t xml:space="preserve">   * metāla detaļu pretkorozijas krāsojums</t>
  </si>
  <si>
    <t xml:space="preserve">   * ķīļenkuri Ø10x60 detaļu stiprtināšanai pie jumtu sānu virsmas, 2gb uz detaļu </t>
  </si>
  <si>
    <t xml:space="preserve">   * rūpnieciski ktrāsota skārda apšuvums, b=500, jumtiņu dzegai un sāniem, augšā dībeļots, apakšā apliekts</t>
  </si>
  <si>
    <t xml:space="preserve">   * dībeļi, Ø10x60, skārda stiprināšanai dzegas augšā, s=500</t>
  </si>
  <si>
    <t>Lodžiju jumtu pieslēgums pie bēniņu ārsienas, kop. L=136,2+3m=139,2m :</t>
  </si>
  <si>
    <t xml:space="preserve">   * papildus seguma kārtas pie sienas pieslēguma, kop.b=0.65+0.45 m, L=139,2 m</t>
  </si>
  <si>
    <t xml:space="preserve">   * cinkota skārda noseglīste, b=100, pašurbjošs enkurojums Ø6x80*, solis 200  (696 gb)</t>
  </si>
  <si>
    <t xml:space="preserve">   * cokola profils zem bēniņu ārsienas siltinājuma S5 (b=50 mm, skat.AR) gar lodžiju jumtu</t>
  </si>
  <si>
    <t>Bēniņu pārseguma siltināšana, siltinājumu salaidums bēniņu zonā, virsjumta  izvadu atjaunošana</t>
  </si>
  <si>
    <t>Veicamie darbi bēniņu siltināšanai (lapa BK-2)</t>
  </si>
  <si>
    <t>Gāzbetona bloku mūris, b=200; h=300, B=1m, 5 gb, bēniņu durvju ailas apakšā siltinājuma norobežošanai</t>
  </si>
  <si>
    <r>
      <t>m</t>
    </r>
    <r>
      <rPr>
        <b/>
        <sz val="8"/>
        <rFont val="Arial"/>
        <family val="2"/>
        <charset val="186"/>
      </rPr>
      <t>³</t>
    </r>
  </si>
  <si>
    <t>Gāzbetona bloku mūris, b=200; h=400, B=0,7m, 5 gb, pie metšala kāpnēm siltinājuma norobežošanai</t>
  </si>
  <si>
    <t xml:space="preserve"> Pie bēniņu durvīm esošu metāla kāpņu pārmontēšana atbilstoši siltinājuma augstumam</t>
  </si>
  <si>
    <t>Esošā pārseguma virsmas attīrīšana, gružu izvākšana, virsmas izlīdzināšana pēc vietas (virsma nelīdzena)</t>
  </si>
  <si>
    <t>Dēļu laipu uzstādīšana: (elementi 900x1800 mm; atsevišķas vietas jāpielāgo kā 1/2 no L):</t>
  </si>
  <si>
    <t xml:space="preserve">  * koka brusas ar prettrupes un pretuguns apstrādi 75×125(h)x1800, 2gb uz elem., kop.L=1,8mx2x91=328 m</t>
  </si>
  <si>
    <t xml:space="preserve">  * dēļi ar prettrupes un pretuguns apstrādi 130×25(h)x900, 10 gb uz elem., kop.L=9mx91=819 m</t>
  </si>
  <si>
    <t xml:space="preserve">  * hidroizolācijas krāsojums 0,20x0,30 m uz gāzbetona bloku augšvirsmas zem koka brusām, 364 vietas</t>
  </si>
  <si>
    <t>Bēniņos izvirzīto kāpņu telpu sienu siltināšana pēc šķēluma S6 (skat.AR); h=1*m; 24,2 m²  uz 1 k.telpu</t>
  </si>
  <si>
    <t>Azbestcementa vēdināšanas izvadu Ø420, h=0.7* m - 30 gb; virsmas remonts, krāsošana</t>
  </si>
  <si>
    <t>Azbestcementa atkritumu vadu izvadu Ø300, h=0.7* m -5 gb; virsmas remonts, krāsošana</t>
  </si>
  <si>
    <t>Veicamie darbi izvadu remontam virsjumta daļā (lapa BK-5)</t>
  </si>
  <si>
    <t>Skārda jumtiņu ierīkošana vēdināšanas izvadiem (Ø420 - 30 gb); skat.BK-5:</t>
  </si>
  <si>
    <t>* liektas sānu metāla enkurdetaļas - 4x40, l=540; 4 gab uz izvadu; kopā 30x4=120 gab; kop.L=0.54x120=64,8 m</t>
  </si>
  <si>
    <t>* ķīļenkuri M10x60 detaļu nostiprināšanai pie izvadiem, 2 gab uz detaļu</t>
  </si>
  <si>
    <t>* metāla detaļa - 4x50 pa jumtiņa perimetru  l=0.62 mx4 gb=2.5 m, kop.L=2.5 mx30gb=75 m</t>
  </si>
  <si>
    <t>* stīpveida metāla detaļa - 4x40 pa izvada perimetru; 2 gb ar l=0.74; kop.L=0.74x2x30gb=44,4 m</t>
  </si>
  <si>
    <t>* skrūvju komplekti stīpveida detaļu savilkšanai, 2 gab uz izvadu</t>
  </si>
  <si>
    <t>* šuvju hermetizēšana gar izvadiem un jumta virsmu, perim.1,32 m, 30 gab</t>
  </si>
  <si>
    <t xml:space="preserve">* jumta skārds izvadu jumtiņu segumam; uz jumtiņu  1 m² </t>
  </si>
  <si>
    <t>* metāla detaļu pretkorozijas krāsošana</t>
  </si>
  <si>
    <t>Skārda jumtiņu ierīkošana atkritumu vadu izvadiem (Ø300 - 5 gb); skat.BK-5:</t>
  </si>
  <si>
    <t>* liektas sānu metāla enkurdetaļas - 4x40, l=540; 4 gab uz izvadu; kopā 5x4=20 gab; kop.L=0.54x20=10,8 m</t>
  </si>
  <si>
    <t>* metāla detaļa - 4x50 pa jumtiņa perimetru  l=0.5 mx4 gb=2 m, kop.L=2 mx5gb=10 m</t>
  </si>
  <si>
    <t>* stīpveida metāla detaļa - 4x40 pa izvada perimetru; 2 gb ar l=0.55; kop.L=0.55x2x5gb=5,5 m</t>
  </si>
  <si>
    <t>* šuvju hermetizēšana gar izvadiem un jumta virsmu, perim.0,95 m, 5 gab</t>
  </si>
  <si>
    <t xml:space="preserve">* jumta skārds izvadu jumtiņu segumam; uz jumtiņu  0,7 m² </t>
  </si>
  <si>
    <t>Siltinātas ventilācijas zondes, h=500, ar pamatni kanalizācijas izvadiem virsjumta daļā, precizēt pēc vietas</t>
  </si>
  <si>
    <t>Ārsienas un bēniņu sienas siltinājumu salaiduma izveidošana (lapa BK-2)</t>
  </si>
  <si>
    <t xml:space="preserve">Dzīvokļu ārsienas  un bēniņu ārsienas siltinājuma salaiduma izbūve (lapa BK-3), L=91 m: </t>
  </si>
  <si>
    <t xml:space="preserve">  * ārsienas siltinājuma (S1 AR rasēj.), b=150, augšvirsmas slīpinājums</t>
  </si>
  <si>
    <t xml:space="preserve">  * liekta metāla enkurdetaļa -4x40, l=450, siltinājumu salaiduma vietā, s=700, 130 gb, kop.l=59 m</t>
  </si>
  <si>
    <t xml:space="preserve">  * gropes, 10x10 mm, iefrēzēšana ārsienā skārda apšuvuma iestiprināšanai</t>
  </si>
  <si>
    <t xml:space="preserve">  * rūpnieciski krāsota skārda apšuvums, aplocīts ap enkurdetaļu, b=600, augšā  hermetizēts sienas gropē</t>
  </si>
  <si>
    <t xml:space="preserve">  * nosegdetaļas stiprinājums ar dībeļiem, l=150 , s=700</t>
  </si>
  <si>
    <t xml:space="preserve">  * hermetizēta šuve gar skārda ieloci ārsienas gropē</t>
  </si>
  <si>
    <t xml:space="preserve">  * hermetizējošs blīvējums bēniņu siltinājuma un skārda apšuvuma salaiduma vietā</t>
  </si>
  <si>
    <t>(ēkā 72 lodžijas ar laidumu 6.4 m; 44 lodžijas ar laidumu 3.2 m)</t>
  </si>
  <si>
    <t xml:space="preserve">Lodžiju  paneļu virsmas atjaunošana, metinājumu vietu remonts u.c.darbi: </t>
  </si>
  <si>
    <t xml:space="preserve">   * lodžiju dzelzsbetona paneļu augšējās virsmas attīrīšana, bojātās virsmas novākšana, b=1,2 m; L=(449,3+133,8)m</t>
  </si>
  <si>
    <t xml:space="preserve">   * hidroizolāc.ieklāšana ar 10cm uzliekumu uz  sienām pēc siltināšanas (1.05x583,1+1.05x103,6x0,1)</t>
  </si>
  <si>
    <t xml:space="preserve">   * akmens masas āra flīžu seguma ierīkošana lodžijām ar 0.1 m apmali gar sienām </t>
  </si>
  <si>
    <t xml:space="preserve">   * margu paneļu aptveres rāmja redzamās puses pretkorozijas apstrāde un krāsošana, b=50; h=1,2m; kopējais atsegatais perimetrs .760* m </t>
  </si>
  <si>
    <t xml:space="preserve">   * lodžiju margu paneļu un lodžiju pārseguma paneļu metinājumu vietu pārbaude,  (8gb uz 6,4m; 4gb uz 3.2 m)</t>
  </si>
  <si>
    <t xml:space="preserve">   * pieņemts, ka 30% no esošām detaļām jāpārmetina stiprības garantēšanai ar papildus plātnēm -10x100x100</t>
  </si>
  <si>
    <t xml:space="preserve">   * margu un pārseguma metinājuma det., 100x100, pretkorozijas krāsojums, 8gb uz 6,4m lodžiju; 4gb uz 3,2 m </t>
  </si>
  <si>
    <t xml:space="preserve">   * lodžiju margu paneļu un šķērssienu metinājuma det., 100x100, pārbaude, pretkoroz. krāsojums, 2gb uz lodžiju </t>
  </si>
  <si>
    <t xml:space="preserve">   * lodžiju  margu plātņu, 3,2x1,3(h), lokāli remotdarbi, pieņemta 1/3 no virsmas </t>
  </si>
  <si>
    <t>Pagalma puses ārējo ieeju jumtu atjaunošana un citi darbi ieejas mezgliem.</t>
  </si>
  <si>
    <t>Ārējo jumtiņu atjaunošana pagalma pusē asīs 8-9, 11-12, M-L, H-G (skat.lapu BK-6)</t>
  </si>
  <si>
    <t>Jumtiņa apmales skārda demontāža (b=0,4m), kop. L=3,6 (dzega)+5,5 (sienas pieslēg.)x4=36,4m</t>
  </si>
  <si>
    <t>Esošā ruberoīda seguma noņemšana, virsmas attīrīšana, izlīdzināšana (cementa java b=20), 5m² uz jumtu</t>
  </si>
  <si>
    <t>Betona virsmas notīrīšana plātnes sānu malām, b=100, (0,36m²) un apakšējai plaknei 3,2 m²)=3,6m² uz jumtu</t>
  </si>
  <si>
    <t>Jumtiņa apakšējās virsmas un malu remonts, pielietojot Sakret ekvivalentu tehnoloģiju:</t>
  </si>
  <si>
    <t xml:space="preserve">   * atsegto stiegru pretkorozijas apstrāde, precizēt pēc vietas</t>
  </si>
  <si>
    <t xml:space="preserve">   * virsmas apstrāde ar sasaistes uzlabotāju</t>
  </si>
  <si>
    <t xml:space="preserve">   * izlīdzinātās virsmas špaktelēšana un gruntēšana</t>
  </si>
  <si>
    <t xml:space="preserve">   * sagatavotas apakšējās virsmas krāsošana ar betona virsmai paredzētu fasādes krāsu ( 2 kārtas)</t>
  </si>
  <si>
    <t>Antiseptizētas koka latas 50x50 enkurošana pie jumtiņa plātnes; 3,6 m uz jumtu; kop.L=14,4 m</t>
  </si>
  <si>
    <t>Ķīļenkuri M10x100, s=500, latas nostiprināšanai , 8 gb uz jumtu</t>
  </si>
  <si>
    <t xml:space="preserve">Jumtiņa dzegas un sānu apšuvums ar rūpnieciski krāsotu skārdu, b=500, (pēc krāsu pases), L=16 m </t>
  </si>
  <si>
    <t>Jumta skārda lāseņa nostiprināšana pa jumtiņa dzegas garumu, b=250, tonis pēc AR norādēm, l=14,4 m</t>
  </si>
  <si>
    <t xml:space="preserve">Cokola profils zem ārsienas siltinājuma S1 (b=150 mm) gar jumtiņu, 3 m uz jumtu  ar stiprinājumiem     </t>
  </si>
  <si>
    <t xml:space="preserve">Cokola profils zem lodžiju sienu siltinājuma S3 (b=30 mm) gar jumtiņu, 2,5 m uz jumtu ar stiprinājumiem     </t>
  </si>
  <si>
    <t xml:space="preserve">Rūpnieciski krāsota skārda ieliekta noseglīste gar pieslēgumu, b=250, enkurojuma s=20 cm; 5,5 m uz jumtu </t>
  </si>
  <si>
    <t>Hermetizēta šuve gar ārsienas un jumtiņa  pieslēgumu; 5,5 m uz jumtu</t>
  </si>
  <si>
    <t>Ārējā jumtiņa atjaunošana pagalma pusē asīs 3-5, D-C (skat.lapu BK-6)</t>
  </si>
  <si>
    <t>Jumtiņa apmales skārda demontāža (b=0,4m), kop. L=3,3 (dzega)+10,2 (sienas pieslēg.)=13,5m</t>
  </si>
  <si>
    <t xml:space="preserve">Esošā ruberoīda seguma noņemšana, virsmas attīrīšana, izlīdzināšana (cementa java b=20), 11,2 m² </t>
  </si>
  <si>
    <t>Betona virsmas notīrīšana plātnes sānu malām, b=100, (0,33m²) un apakšējai plaknei 8,5 m²)</t>
  </si>
  <si>
    <t>Antiseptizētas koka latas 50x50 enkurošana pie jumtiņa plātnes; 3,3 m uz jumtu</t>
  </si>
  <si>
    <t xml:space="preserve">Ķīļenkuri M10x100, s=500, latas nostiprināšanai </t>
  </si>
  <si>
    <t xml:space="preserve">Jumtiņa dzegas un sānu apšuvums ar rūpnieciski krāsotu skārdu, b=500, (pēc krāsu pases), L=3,3 m </t>
  </si>
  <si>
    <t>Jumta skārda lāseņa nostiprināšana pa jumtiņa dzegas garumu, b=250, tonis pēc AR norādēm, l=3,3m</t>
  </si>
  <si>
    <t xml:space="preserve">Cokola profils zem ārsienas siltinājuma S1 (b=150 mm) gar jumtiņu, 10,2 m uz jumtu      </t>
  </si>
  <si>
    <t xml:space="preserve">Rūpnieciski krāsota skārda ieliekta noseglīste gar pieslēgumu, b=250, enkurojuma s=20 cm  </t>
  </si>
  <si>
    <t>Hermetizēta šuve gar ārsienas un jumtiņa  pieslēgumu, 9,7 m uz jumtu</t>
  </si>
  <si>
    <t>Veicamie darbi mūra sieniņu u.c. elementu izbūvei ieejas mezglos (lapa BK-6)</t>
  </si>
  <si>
    <t>Metāla enkuri Ø10, l=250, 5gb ailas malā; kop.skaits:15gb asīs 3-5/D-C; 4x5gb pārējiem pagalma mezgliem; viena gals 10 cm ieeurbts un momolitizēts esošā sienā; otrs - 90° noliekts un iemūrēts šuvē</t>
  </si>
  <si>
    <t>Papildus darbi ieejas mezgla remontam asīs 2-3/C-D:</t>
  </si>
  <si>
    <t xml:space="preserve">  * esošās bojātās mūra sienas demontāža ieejai 2-3/C-D, pirms tam droši atbalstot jumtiņu</t>
  </si>
  <si>
    <t xml:space="preserve">  * esošā betona lieveņa nokalšana 1,6*x3,3m platībā, biezums ~15cm</t>
  </si>
  <si>
    <t xml:space="preserve">  * grunts izstrāde sienu un laukuma pamatiem, 0,2x(0,5+0,41+3,3)+0,3x0,3x3,1=</t>
  </si>
  <si>
    <t xml:space="preserve">  * betona C25/30 pamatu betonēšana zem projektētām sieniņām un laukuma</t>
  </si>
  <si>
    <t xml:space="preserve">  * hidroizolācijas ierīkošana uz pamatiem 0,91x0,2+0,25x3,1=</t>
  </si>
  <si>
    <t>(pārējo sieniņu apjomus skat.AR rasējumos)</t>
  </si>
  <si>
    <t xml:space="preserve">  * sienas apmetums  un krāsošana  (sānu virsma 3,1x2,2(h)*x2=</t>
  </si>
  <si>
    <t xml:space="preserve">  * blietētas šķembas zem ieejas laukuma, b=18 cm, 1,4x3,3 m platībā</t>
  </si>
  <si>
    <t xml:space="preserve">  * ieejas laukuma ierīkošana 1,6x3,3 m platībā, ar abrazīvu virsmu, betons  C25/30, b=120 </t>
  </si>
  <si>
    <t xml:space="preserve">  *stiegru Ø6, siets 100x100, laukuma betonēšanai</t>
  </si>
  <si>
    <t>Veicamie darbi galveno ieeju (ar pagrabu)  atjaunošanai  (lapa BK-6)</t>
  </si>
  <si>
    <t>Bojātā betona nokalšana, b=~30, no pagraba ieejas laukumiem (pie pagraba durvīm) , 1,4 m² uz ieeju</t>
  </si>
  <si>
    <t>Pagraba ieejas  laukuma atjaunošana, betons C25/30, abrazīva virsma, b=30</t>
  </si>
  <si>
    <t>Betona soliņu, 0,08x0,3x3,1 m, demontāža pie pagraba atbalstsienas</t>
  </si>
  <si>
    <t>Pagraba atbalstsienas virsmas remonts (abas puses) un krāsošana (krāsa āra darbiem), 10 m² uz ieeju</t>
  </si>
  <si>
    <t>Bojātā betona nokalšana no dzelzsbetona stabiem pie pagraba ieejām,   ~0,7m² uz ieeju</t>
  </si>
  <si>
    <t>Atsegto stiegru pretkorozijas krāsojums, betona aizsargkārtas atjaunošana</t>
  </si>
  <si>
    <t>Esošo flīžu seguma demontēšana pie ārdurvīm, 3,6 m² uz ieeju</t>
  </si>
  <si>
    <t>Ieejas laukuma sānu betona  virsmas remonts, pirms tam noņemot un atliekot augšējo pakāpiena plātni</t>
  </si>
  <si>
    <r>
      <rPr>
        <b/>
        <i/>
        <sz val="8"/>
        <rFont val="Arial"/>
        <family val="2"/>
        <charset val="186"/>
      </rPr>
      <t>J</t>
    </r>
    <r>
      <rPr>
        <b/>
        <sz val="8"/>
        <rFont val="Arial"/>
        <family val="2"/>
        <charset val="186"/>
      </rPr>
      <t>umtu atjaunošana.</t>
    </r>
  </si>
  <si>
    <r>
      <t>Veicamo darbu apjomi jumta elementu atjaunošanai</t>
    </r>
    <r>
      <rPr>
        <sz val="8"/>
        <rFont val="Arial"/>
        <family val="2"/>
        <charset val="204"/>
      </rPr>
      <t xml:space="preserve"> (lapas BK-4,  BK-5)</t>
    </r>
  </si>
  <si>
    <t>Dzelzsbetona jumtiņu noņemšana-atpakaļatlikšana uz šuvju un jumta  virsmas remonta laiku .(~310 kg)</t>
  </si>
  <si>
    <t>Ruberoīda ielāpu noņemšana.no jumta augšējās virsmas, precizēt pēc vietas</t>
  </si>
  <si>
    <t>Galasienu virsmas attīrīšana ar smilšpapīru jumta pusē (neliela platība, precizēt pēc vietas)</t>
  </si>
  <si>
    <t>Jumta augšējās virsmas atjaunošana:</t>
  </si>
  <si>
    <r>
      <t xml:space="preserve">Jumta paneļu, tekņu, jumtiņu, parapetu  </t>
    </r>
    <r>
      <rPr>
        <b/>
        <sz val="8"/>
        <rFont val="Arial"/>
        <family val="2"/>
        <charset val="204"/>
      </rPr>
      <t>augšējās</t>
    </r>
    <r>
      <rPr>
        <sz val="8"/>
        <rFont val="Arial"/>
        <family val="2"/>
        <charset val="204"/>
      </rPr>
      <t xml:space="preserve"> un redzamās sānu virsmas mehāniska attīrīšana ar smilšpapīru: jumta paneļi - 1017,5 m², teknes - 240,6m², jumtiņi - 205,8 m², parapetu plātnes - 49 m²</t>
    </r>
  </si>
  <si>
    <t>Caurumu, ~ Ø10* cm, plātnes b=100, aizpildīšana paneļu virsmā, betons C27/30-demontētu detaļu vietas</t>
  </si>
  <si>
    <t>Jumta virsmas mazgāšana ar ūdens strūklu zem spiediena.</t>
  </si>
  <si>
    <t>Piltuvju iestrāde dzelzsbetona teknēs pēc tehnoloģijas lapā BK-5, apakšējo posmu nomaiņa, siltinājums; bēniņos jānomaina vecās horizontālās notekas uz PVC caurulēm 22,4m garā posmā līdz piltuvju, 18gb, uzstādīšanai</t>
  </si>
  <si>
    <t>Jumta parapetu apdare pēc betona virsmas atjaunošanas:</t>
  </si>
  <si>
    <t xml:space="preserve">  * parapetu virsmas, b=550,  L=61,2m, slīpināšana ar cementa javu uz jumta pusi, b=0÷30 mm</t>
  </si>
  <si>
    <t xml:space="preserve">  * liektu enkuru -4x40, l=800*, s=500, nostiprināšana uz parapeta, 122 gab, kop.L=98 m</t>
  </si>
  <si>
    <t xml:space="preserve">  * dībeļi M10x80 enkurdetaļu stiprināšanai pie parapeta plātnes, 2 gab uz detaļu</t>
  </si>
  <si>
    <t xml:space="preserve">  * parapetu apšuvums, b=850*, ar jumta skārdu pēc krāsu pases</t>
  </si>
  <si>
    <t xml:space="preserve">  * enkuru pretkorozijas krāsojums</t>
  </si>
  <si>
    <t xml:space="preserve"> Jumta paneļu augšējās garenmalas atjaunošana pa perimetru fasādes pusē:</t>
  </si>
  <si>
    <t xml:space="preserve">  * betona virsmas remonts, sānu malas h=200, apakšmalas b=100, L=55x3,2=176 m</t>
  </si>
  <si>
    <t xml:space="preserve">  * betona virsmas krāsošana ar tam paredzētetu betona fasādes krāsu</t>
  </si>
  <si>
    <t>Šuvju hermetizēšana gar uzstādītām lūkām</t>
  </si>
  <si>
    <r>
      <t>Jumta paneļu un tekņu apakšējās virsmas remonts</t>
    </r>
    <r>
      <rPr>
        <sz val="8"/>
        <color theme="1"/>
        <rFont val="Arial"/>
        <family val="2"/>
        <charset val="186"/>
      </rPr>
      <t xml:space="preserve"> (bēniņu puse), skat. lapu BK-3:</t>
    </r>
  </si>
  <si>
    <t>Paneļu, tekņu  virsmas pirmatnējā attīrīšana no putekļiem, uzslāņojumiem u.c., izteikti kondens.bojājumi 132m²</t>
  </si>
  <si>
    <t>Paneļu, tekņu  virsmas rūpīga attīrīšana no nepiesaistītām betona daļiņām acīm redzamu bojājumu vietās</t>
  </si>
  <si>
    <t>Atsegtā stiegrojuma notīrīšana līdz klasei Sa (min. St 2), apjomu precizēt būvdarbu laikā</t>
  </si>
  <si>
    <t>Paneļu un tekņu  plaisu iztīrīšana no nenoturīgām betona daļiņām, apjomu precizēt pēc virsmas attīrīšanas</t>
  </si>
  <si>
    <t>Caurumu, robu, līdz Ø10* cm, plātnes b=100, aizpldīšana paneļu virsmā, betons C27/30</t>
  </si>
  <si>
    <r>
      <rPr>
        <b/>
        <sz val="8"/>
        <rFont val="Arial"/>
        <family val="2"/>
        <charset val="186"/>
      </rPr>
      <t xml:space="preserve">Piezīme: </t>
    </r>
    <r>
      <rPr>
        <sz val="8"/>
        <rFont val="Arial"/>
        <family val="2"/>
        <charset val="204"/>
      </rPr>
      <t xml:space="preserve"> ņemot vērā to, ka jumta elementu virsmas atrodas neapmierinošā tehniskā stāvoklī, atkāpes no jumta atjaunošanas darbiem norādītās tehnoloģijas nav pieļaujamas.</t>
    </r>
  </si>
  <si>
    <r>
      <t xml:space="preserve">Gaisa un apakšzemes kabeļie veicamie darbi </t>
    </r>
    <r>
      <rPr>
        <sz val="8"/>
        <color theme="1"/>
        <rFont val="Arial"/>
        <family val="2"/>
        <charset val="186"/>
      </rPr>
      <t xml:space="preserve"> (skat. lapu BK-7):</t>
    </r>
  </si>
  <si>
    <t>Gaisa kabeļi</t>
  </si>
  <si>
    <t xml:space="preserve">  Piekarāķi kabeļu nostiprināšanai (skat.aprakstu BK-7), l=400</t>
  </si>
  <si>
    <t xml:space="preserve">  Metāla detaļas -8x200x200, 1 gb uz āķi</t>
  </si>
  <si>
    <t xml:space="preserve">  Ķīļenkuri Ø8x120, 4 gab uz detaļu</t>
  </si>
  <si>
    <t xml:space="preserve">  Demontējami ar jumtu saistīti gaisa piekarkabeļi </t>
  </si>
  <si>
    <t xml:space="preserve">  Metāla mastu demontāža, l=1 m</t>
  </si>
  <si>
    <t xml:space="preserve">  Atvērumu, Ø100, aizbetonēšana mastu vietās</t>
  </si>
  <si>
    <t>Apakšzemes kabeļi</t>
  </si>
  <si>
    <t xml:space="preserve">  Kabeļu aizsargcaurules Ø110, 750N, 4 gb, l=1,5*m</t>
  </si>
  <si>
    <t>Grunts</t>
  </si>
  <si>
    <t>Stūra profils</t>
  </si>
  <si>
    <t>Loga pielaiduma profils</t>
  </si>
  <si>
    <t>Stūra lāsenis</t>
  </si>
  <si>
    <t>Palodzes montāžas profils</t>
  </si>
  <si>
    <t>Cokola profils</t>
  </si>
  <si>
    <t>Virsmas apstrāde ar biocīdu (vietās kur nepieciešams)</t>
  </si>
  <si>
    <t>Bīocīdu preparāts</t>
  </si>
  <si>
    <t>Līmjava</t>
  </si>
  <si>
    <t>Dībeli</t>
  </si>
  <si>
    <t>Logu un durvju aiļu ārējo stūru armēšana ar sietu papildus sietu 0,3m platumā no ailes un ailē stiepes izturība &gt;200N/5cm, Struktūras stabilitāte &gt;22%, Atbilst REACH , sieta acojuma lielums 4×4mm.</t>
  </si>
  <si>
    <t>1. meh. klases apmetuma izveidošana: 2 kārtas armējošās javas un armējošā stikla šķiedras sieta uzklāšana, zemapmetuma grunts uzklāšana, dekoratīvā gatavā silikona apmetuma ar tonējumu uznešana</t>
  </si>
  <si>
    <t>Līmjava divām kārtām</t>
  </si>
  <si>
    <t>Siliktā -silikona homogēnais apmetums, 2mm graudu lielums</t>
  </si>
  <si>
    <t>2. meh. klases apmetuma izveidošana: 1 kārtas armējošās javas un armējošā stikla šķiedras sieta uzklāšana, zemapmetuma grunts uzklāšana, dekoratīvā gatavā silikona apmetuma ar tonējumu uznešana</t>
  </si>
  <si>
    <t>Palodzes sāna montāžas profils</t>
  </si>
  <si>
    <t>Vieglbetona bloku mūrīšana, saskaņā ar AR-10. Kop. L=2,27m, b=200mm, h=2,0m, gruntēšana, krāsošana</t>
  </si>
  <si>
    <t>silikona hermētiķis</t>
  </si>
  <si>
    <t>montāžas putas</t>
  </si>
  <si>
    <t xml:space="preserve">Līmjava </t>
  </si>
  <si>
    <t>Grunts hidroizolācijai (11kg patēriņš aptuveni 0,5kg/m2)</t>
  </si>
  <si>
    <t>hidroizolācija (19kg patēriņš aptuveni 1,0kg/m2)</t>
  </si>
  <si>
    <t>Armējošā līmjava divām kārtām sieta</t>
  </si>
  <si>
    <t>Armējošā līmjava</t>
  </si>
  <si>
    <t>Hidroizolācija 3 kārtas</t>
  </si>
  <si>
    <t xml:space="preserve">   * lodžijas paneļu apakšējās ribotās betona virsmas atjaunošana</t>
  </si>
  <si>
    <t>Tvaika plēves, b=0,2 mm, ieklāšana, ieskaitot k=1.15 šuvju pārklāšanai</t>
  </si>
  <si>
    <t xml:space="preserve">  * gāzbetona bloki (200x300x600), piezāģēt pēc gabarītiem 0,2x300x300; 4x91=364 gb </t>
  </si>
  <si>
    <t>bloku mūris, b=200, h=200, l=2x1,2m; parapets b=200, h=400, l=3,14; 0,35 m³ uz jumtiņu</t>
  </si>
  <si>
    <t>Tvaika izolācija, 3,2 m² uz jumtiņu</t>
  </si>
  <si>
    <t>Apakšējais ruberoīda segums (3,5 kg/m²), 7 m² uz jumtiņu, ieskaitot uzliekumus uz ārsienas un parapeta</t>
  </si>
  <si>
    <t>Augšējais ruberoīda segums (4,5 kg/m²), 7 m² uz jumtiņu, ieskaitot uzliekumus uz ārsienas un parapeta</t>
  </si>
  <si>
    <t xml:space="preserve">   * ārsienas siltinājums gar jumtiņiem, b=30, h=300, L=3,14 m</t>
  </si>
  <si>
    <t xml:space="preserve">   * stūra elements 150x150, l=3,14</t>
  </si>
  <si>
    <t xml:space="preserve">   * papildu ruberoīda kārta, (4,5 kg/m²),  noliekta uz dzegas un sāniem, b=400 mm</t>
  </si>
  <si>
    <t xml:space="preserve">   * dzegas malas (h=250) un apakšas (b=200) virsmas izdrupumu remonts, L=163,2m</t>
  </si>
  <si>
    <t>Apakšējais ruberoīda segums (3,5 kg/m²), ieklāts uz esoša attīrīta, izlīdzināta seguma, b=1,5*m, L=136,2m</t>
  </si>
  <si>
    <t>Augšējais ruberoīda segums (4,5 kg/m²)</t>
  </si>
  <si>
    <t xml:space="preserve">   * ārsienas siltinājums gar jumtiņiem, b=30, h=300</t>
  </si>
  <si>
    <t xml:space="preserve">   * stūra elements 150x150,</t>
  </si>
  <si>
    <t xml:space="preserve">   * betona aizsargkārtas atjaunošana (remontjava)</t>
  </si>
  <si>
    <t>Siltinājuma, poliuretāna plākšņu, b=50, ieklāšana uz jumtiņa, 5 m² uz jumtu</t>
  </si>
  <si>
    <t>Papildus seguma josla, ruberoīds (3,5 kg/m²), b=300mm, gar dzegu l=3,6m; kop. l=14,4 m</t>
  </si>
  <si>
    <t>Apakšējais ruberoīda segums (3,5 kg/m²) ar 15 cm uzliekumu uz ārsienas, 6 m² uz jumtu</t>
  </si>
  <si>
    <t>Augšējais ruberoīda segums (4,5 kg/m²) ar 15 cm uzliekumu uz ārsienas</t>
  </si>
  <si>
    <t>Ārsienas siltinājums, b=120, enkurots pie ārsienas gar jumtiņu,  h=150, l=5,5 m uz jumtu</t>
  </si>
  <si>
    <t>Jumtiņa apakšējās virsmas un malu remonts</t>
  </si>
  <si>
    <t xml:space="preserve">   * sagatavotas apakšējās virsmas krāsošana ar betona virsmai paredzētu fasādes krāsu (2 kārtas)</t>
  </si>
  <si>
    <t>Siltinājuma, poliuretāna plāksnes, b=50, ieklāšana uz jumtiņa, 11,2 m² uz jumtu</t>
  </si>
  <si>
    <t>Papildus seguma josla, ruberoīds (3,5 kg/m²), b=30 0mm, gar dzegu l=3,3m</t>
  </si>
  <si>
    <t>Apakšējais ruberoīda segums (3,5 kg/m²) ar 15 cm uzliekumu uz ārsienas, 12,7 m² uz jumtu</t>
  </si>
  <si>
    <t>Ārsienas siltinājums, akmens vate, b=120, enkurots pie ārsienas gar jumtiņu,  h=150, l=10,2 m uz jumtu</t>
  </si>
  <si>
    <t xml:space="preserve">  * vieglbetona bloku mūris, b=250; h=2,2*m, l=3,1m zem jumtiņa ieejai 2-3/D-C </t>
  </si>
  <si>
    <t>Akmens masas salizturīgu flīžu segums pie ārdurvīm</t>
  </si>
  <si>
    <t>Saduršuvju attīrīšana jumta augšējā virsmā starp visiem jumta elementiem no vecās javas, mastikas u.c, tai skaitā garenšuve fasādes pusē; iztīrīto šuvju aizpildīšana ar mastiku</t>
  </si>
  <si>
    <r>
      <t xml:space="preserve">Jumta </t>
    </r>
    <r>
      <rPr>
        <b/>
        <sz val="8"/>
        <rFont val="Arial"/>
        <family val="2"/>
        <charset val="204"/>
      </rPr>
      <t>augšējās</t>
    </r>
    <r>
      <rPr>
        <sz val="8"/>
        <rFont val="Arial"/>
        <family val="2"/>
        <charset val="204"/>
      </rPr>
      <t xml:space="preserve"> virsmas  plaisu iztīrīšana no nenoturīgām betona daļiņām (precizēt pēc attīrīšanas) un aizpildīt ar epoksīdsveķu mastiku (šķidru)</t>
    </r>
  </si>
  <si>
    <r>
      <t xml:space="preserve">Atsegtā stiegrojuma attīrīšana līdz kl.Sa (min.St2), pārklāt ar suspens. augšējā virsmā, veicamo apjomu </t>
    </r>
    <r>
      <rPr>
        <b/>
        <sz val="8"/>
        <rFont val="Arial"/>
        <family val="2"/>
        <charset val="186"/>
      </rPr>
      <t>precizēt</t>
    </r>
    <r>
      <rPr>
        <sz val="8"/>
        <rFont val="Arial"/>
        <family val="2"/>
        <charset val="186"/>
      </rPr>
      <t xml:space="preserve"> pēc virsmas attīrīšanas  un nomazgāšanas (apjoms pēc ruberoīda seguma)</t>
    </r>
  </si>
  <si>
    <t>Betona aizsargkārtas atjaunošana augšvirsmai ar sastāvu, apjomu precizēt</t>
  </si>
  <si>
    <t>Saķeres uzlabotāja uzklāšana uz tīras, samitrinātas virsmas</t>
  </si>
  <si>
    <t xml:space="preserve">Ģeotekstils vienā kārtā:  pie izvadiem, jumta lūkām, galasienām, b~300, L=111m </t>
  </si>
  <si>
    <t>Tekņu dibena virsmas slīpināšana - cementa java M200 ar piedevu, 0÷20 mm</t>
  </si>
  <si>
    <t xml:space="preserve">Ģeotekstils visā tekņu augšējā virsmā </t>
  </si>
  <si>
    <t>Poliuretāna membrāna ap tekņu savienojumiem (1m²x16) un gar 18 piltuvēm Ø500=0.2m² (pirms un pēc ģeotekstila)</t>
  </si>
  <si>
    <t>Hidroizolācijas uzklāšana 2 kārtās  ar augstspied. uzsmidzināšanas iekārtu</t>
  </si>
  <si>
    <t>Aizsargslāņa ieklāšana 1 kārtā ar augstspied. uzsmidzināšanas iekārtu</t>
  </si>
  <si>
    <t>Jumta lūku vāku nostiprināšana pēc ražotājfirmas norādēm; esoši atvērumi 780x970 - 3 gb;  paredzēt papildus izdevumus lūku pielāgošanai</t>
  </si>
  <si>
    <t>Jumta margu uzstādīšana</t>
  </si>
  <si>
    <t>Stiegrojuma pārklājums ar suspensiju vienā kārtā</t>
  </si>
  <si>
    <t>Saduršuvju attīrīšana jumta apakšējā virsmā no vecās javas, mastikas u.c.: starp paneļiem, teknēm  un pa jumta iekšējo perimetru; iztirīto šuvju malas gruntēt; ievietot atduru un  aizpildīt ar mastiku (elastīgā) -skat.norādes lapā BK-2</t>
  </si>
  <si>
    <t>Plaisu aizdare ar fiksotropisku (biezu) remontjavu</t>
  </si>
  <si>
    <t>Apakšējās virsmas noklāšana ar remontjavu (var ar izsmidzināšanu)</t>
  </si>
  <si>
    <t>Paneļu virsmas apstrāde ar pretpelējuma līdzekli 3 reizes</t>
  </si>
  <si>
    <t>Automātiskais balansējošais vārsts, Dn15; t=110°C; P=8 bar, uzstādīšana, ieregulēšana</t>
  </si>
  <si>
    <t>Siltuma maksas sadalītājs "Domprimo 3 radio net" firmas ISTA vai ekvivalents, 2-sensoru, starta temperatūra &lt;23°C; alumīnija plāksnes F22, saskaņā ar Eiropas standartu DIN EN 834, uzstādāms uz katra radiatora, uzstādīšana, ieregulēšana, vai ekvivalents</t>
  </si>
  <si>
    <t>Sildķermeņa pievienojuma krāns komplektā ar tukšošanas krānu  t=110 °C; P=8 bar; Dn15</t>
  </si>
  <si>
    <t>Divcauruļu sistēmu radiatoru termostatiskais vārsts komplektā ar savienojumu  t=110 °C; P=8 bar; Dn15</t>
  </si>
  <si>
    <t>Sensors, uzstādīšana, ieregulēšana</t>
  </si>
  <si>
    <t>Vēdināšanas komplekts, montāža ārsienā</t>
  </si>
  <si>
    <t>Esošo ventilācijas kanālu (skursteņu, cuku) apskate, tīrīšana, t.sk. aizgruvumu, remonts</t>
  </si>
  <si>
    <t>Vecās apkures sistēmas demontāža (t.sk., no pagraba maģistrālās caurules (precizēt ar pasūtītāju))</t>
  </si>
  <si>
    <t xml:space="preserve">   * slīpinātas cementa javas ar piedevu kārtas ierīkošana 10÷20 mm  biezumā, b=1,2m</t>
  </si>
  <si>
    <t>Gružu izvākšana, grīdas attīrīšana</t>
  </si>
  <si>
    <t>P4
Pārseguma siltinājums
zem izvirzītās dzīvokļu daļas</t>
  </si>
  <si>
    <t>P1</t>
  </si>
  <si>
    <t>Datu pārraides ierīce "ISTA Memoric 3 radio net", uzstādīšana, ieregulēšana, vai ekvivalents</t>
  </si>
  <si>
    <t>Apkures sistēmas nopresēšana,  ieregulēšana, pārbaude un nodošana ekspluatācijā</t>
  </si>
  <si>
    <t>Hidroizolācijas lentas montēšana logos un durvīs</t>
  </si>
  <si>
    <t>Difūzujas lentas montēšana nomaināmajos logos un durvīs</t>
  </si>
  <si>
    <t xml:space="preserve">                                                                           </t>
  </si>
  <si>
    <t xml:space="preserve"> S4 esošo/projektēto vieglbetona sienu siltinājums</t>
  </si>
  <si>
    <t>PVC loga  bloks ar  stikla paketi krāsa - balta Stikla paketes 1. Stikla paketes ar siltuma caurlaidības koef.: Ug 1,0 w/m²×K. Rāmja siltuma caurlaidības koef.: Uf 1,1 W / m² K. Uw 1.0 W/m² K.2. PVC profilu ekspluatēšanas klimatiskā zona -zona S. 3. PVC profila montāžas dziļums ( profila biezums ) ≤ 80mm</t>
  </si>
  <si>
    <t xml:space="preserve">  *tvaika izolācijas plēve</t>
  </si>
  <si>
    <t xml:space="preserve">Tiešās izmaksas kopā, t. sk. darba devēja sociālais nodoklis 23,59% </t>
  </si>
  <si>
    <t xml:space="preserve">*Apmetuma sistēma virs siltinājuma (AS-2), b= 7mm      
*Grunts
*Siltinājums - akmensvate (PAROC Linio 10 vai ekviv.)  λ=0,036W/m²K, b=150mm (200mm- starp logiem)                             
*Līmjava
*Grunts
*Esošā siena - vieglbetona panelis, b=250/410mm  </t>
  </si>
  <si>
    <t xml:space="preserve">*Apmetuma sistēma virs siltinājuma (AS-1), b=7mm
*Siltinājums - Tenapors Neo EPS 100 vai ekvivalents, λ=0,031* W/Mk, b=50mm
*Līmjava
*Gruntējums
*Esoša betona paneļu siena, b=160/250mm  </t>
  </si>
  <si>
    <t xml:space="preserve">*Apmetuma sistēma virs siltinājuma (AS-1), b=7mm;
*Grunts
*Putupolistirola plāksne Tenapors Neo EPS 100 vai ekvivalents, λ=0,031* W/Mk, b=50mm 
*Līmjava
*Vertikālā hidroizolācija
*Grunts
*Esošā  betona bloku siena, b=250mm  </t>
  </si>
  <si>
    <t xml:space="preserve">*Atjaunotā betona kārta, b=40mm
*Esošais dz-betona pārsegums, b=220mm
*Līmjava
*Siltinājums PAROC Linio 10 vai ekvivalents, λ=0,036W/mK, b=200                       
*Līmjava uz stiklšķiedras sieta, b=10mm
*Ārējā apdare (krāsots struktūrapmetums )    </t>
  </si>
  <si>
    <t xml:space="preserve">*Apmetuma sistēma virs siltinājuma (AS-1), b=7mm
*Grunts
*Putupolistirola plāksne Tenapors Extra EPS 100 vai ekvivalents; λ=0,034 W/mK, b=100mm                                                            *Līmjava
*Vertikālā hidroizolācija
*Grunts
*Esošā   siena -ribotais panelis, b=350mm </t>
  </si>
  <si>
    <t>Bēniņos izvirzīto kāpņu telpu pārsegumu siltināšana pēc šķēluma P5 (skat.AR); 10 m² uz  1 kāpņu telpu:</t>
  </si>
  <si>
    <t>Siltinātu jumtiņu izbūve virs 5.stāva dzīvokļiem (norādes skat.lapā BK-3). P3
Jumta pārseguma siltinājums virs dzīvokļu 
daļas lodžiju zonā</t>
  </si>
  <si>
    <r>
      <t xml:space="preserve">Jumta siltinājums ar akmensvati, </t>
    </r>
    <r>
      <rPr>
        <sz val="8"/>
        <rFont val="Symbol"/>
        <family val="1"/>
        <charset val="2"/>
      </rPr>
      <t>l</t>
    </r>
    <r>
      <rPr>
        <sz val="8"/>
        <rFont val="Arial"/>
        <family val="2"/>
        <charset val="186"/>
      </rPr>
      <t xml:space="preserve">=0,036 W/mk, ekv.ParocROS30, b=2x0,1mx2,64m; 0,63 m³ uz jumtiņu </t>
    </r>
  </si>
  <si>
    <t>Siltumizolācijas akmensvates lameļu līmēšana pie pārseguma apakšas, b=150mm, 0,037 W/m²K, atbīdot komunikācijas</t>
  </si>
  <si>
    <t>Tāme sastādīta 2021. gada</t>
  </si>
  <si>
    <t>Tāme sastādīta  2021. gada tirgus cenās, pamatojoties uz AR un BK daļas rasējumiem</t>
  </si>
  <si>
    <t>*Apmetuma sistēma virs siltinājuma (AS-2)   
*Siltinājums - putupolistirola plāksne Tenapors Neo EPS 100 vai ekvivalents , λ=0,031* W/Mk, b=30mm 
*Līmjava
*Vertikālā hidroizolācija
*Grunts
*Esoša dz-betona starpsiena, b=160mm</t>
  </si>
  <si>
    <t>Durvju un logu aiļu apdare ar akmensvates plātnēm  (PAROC Linio15 vai ekvivalents); λ=0,037W/mK; b=30mm, platums~ 0,10m*</t>
  </si>
  <si>
    <r>
      <t xml:space="preserve">Beramās akmens vates ieklāšana, Paroc BLT3 vai ekvivalents, </t>
    </r>
    <r>
      <rPr>
        <sz val="10"/>
        <rFont val="Symbol"/>
        <family val="1"/>
        <charset val="2"/>
      </rPr>
      <t>l</t>
    </r>
    <r>
      <rPr>
        <sz val="8"/>
        <rFont val="Arial"/>
        <family val="2"/>
        <charset val="186"/>
      </rPr>
      <t>=0,041 W/mK, b=350 mm, t.sk. sablīvešānas koeficients</t>
    </r>
  </si>
  <si>
    <r>
      <t xml:space="preserve">  *akmens vate, </t>
    </r>
    <r>
      <rPr>
        <sz val="10"/>
        <rFont val="Symbol"/>
        <family val="1"/>
        <charset val="2"/>
      </rPr>
      <t>l</t>
    </r>
    <r>
      <rPr>
        <sz val="8"/>
        <rFont val="Arial"/>
        <family val="2"/>
        <charset val="186"/>
      </rPr>
      <t>=0,033 W/mK,</t>
    </r>
    <r>
      <rPr>
        <sz val="8"/>
        <color theme="1"/>
        <rFont val="Arial"/>
        <family val="2"/>
        <charset val="186"/>
      </rPr>
      <t xml:space="preserve"> Paroc WAS 35 vai ekvivalents, b=50</t>
    </r>
    <r>
      <rPr>
        <sz val="8"/>
        <rFont val="Arial"/>
        <family val="2"/>
        <charset val="186"/>
      </rPr>
      <t xml:space="preserve"> mm</t>
    </r>
  </si>
  <si>
    <r>
      <t xml:space="preserve">  *akmens vate, </t>
    </r>
    <r>
      <rPr>
        <sz val="10"/>
        <rFont val="Symbol"/>
        <family val="1"/>
        <charset val="2"/>
      </rPr>
      <t>l</t>
    </r>
    <r>
      <rPr>
        <sz val="8"/>
        <rFont val="Arial"/>
        <family val="2"/>
        <charset val="186"/>
      </rPr>
      <t>=0,036 W/mK,</t>
    </r>
    <r>
      <rPr>
        <sz val="8"/>
        <color theme="1"/>
        <rFont val="Arial"/>
        <family val="2"/>
        <charset val="186"/>
      </rPr>
      <t xml:space="preserve"> Paroc eXtra vai ekvivalents, b=100</t>
    </r>
    <r>
      <rPr>
        <sz val="8"/>
        <rFont val="Arial"/>
        <family val="2"/>
        <charset val="186"/>
      </rPr>
      <t xml:space="preserve"> mm</t>
    </r>
  </si>
  <si>
    <r>
      <t xml:space="preserve">  *akmens vate, </t>
    </r>
    <r>
      <rPr>
        <sz val="10"/>
        <rFont val="Symbol"/>
        <family val="1"/>
        <charset val="2"/>
      </rPr>
      <t>l</t>
    </r>
    <r>
      <rPr>
        <sz val="8"/>
        <rFont val="Arial"/>
        <family val="2"/>
        <charset val="186"/>
      </rPr>
      <t>=0,036 W/mK,</t>
    </r>
    <r>
      <rPr>
        <sz val="8"/>
        <color theme="1"/>
        <rFont val="Arial"/>
        <family val="2"/>
        <charset val="186"/>
      </rPr>
      <t xml:space="preserve"> Paroc eXtra vai ekvivalents, b=150</t>
    </r>
    <r>
      <rPr>
        <sz val="8"/>
        <rFont val="Arial"/>
        <family val="2"/>
        <charset val="186"/>
      </rPr>
      <t xml:space="preserve"> mm</t>
    </r>
  </si>
  <si>
    <r>
      <t xml:space="preserve">Jumta siltinājums ar akmensvati, </t>
    </r>
    <r>
      <rPr>
        <sz val="8"/>
        <rFont val="Symbol"/>
        <family val="1"/>
        <charset val="2"/>
      </rPr>
      <t>l</t>
    </r>
    <r>
      <rPr>
        <sz val="8"/>
        <rFont val="Arial"/>
        <family val="2"/>
        <charset val="186"/>
      </rPr>
      <t xml:space="preserve">=0,037 W/mk, Paroc ROB50 vai ekvivalents, b=0,03x3,14m; 0,113 m³ uz jumtiņu </t>
    </r>
  </si>
  <si>
    <r>
      <t xml:space="preserve">Sieniņu sānu siltinājums, </t>
    </r>
    <r>
      <rPr>
        <sz val="8"/>
        <rFont val="Symbol"/>
        <family val="1"/>
        <charset val="2"/>
      </rPr>
      <t>l</t>
    </r>
    <r>
      <rPr>
        <sz val="8"/>
        <rFont val="Arial"/>
        <family val="2"/>
        <charset val="186"/>
      </rPr>
      <t xml:space="preserve">=0,036 W/mk, Paroc ROS30 vai ekvivalents, b=50;  0,03 m³ uz jumtiņu </t>
    </r>
  </si>
  <si>
    <t>Tāme sastādīta  2021. gada tirgus cenās, pamatojoties uz AVK daļas rasējumiem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</si>
</sst>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0.00;;"/>
    <numFmt numFmtId="165" formatCode="0;;"/>
    <numFmt numFmtId="166" formatCode="0.0%"/>
    <numFmt numFmtId="167" formatCode="_-* #,##0.00_-;\-* #,##0.00_-;_-* \-??_-;_-@_-"/>
    <numFmt numFmtId="168" formatCode="0.0"/>
    <numFmt numFmtId="169" formatCode="_-* #,##0.00_-;\-* #,##0.00_-;_-* \-_-;_-@_-"/>
    <numFmt numFmtId="170" formatCode="_-* #,##0.00_р_._-;\-* #,##0.00_р_._-;_-* &quot;-&quot;??_р_._-;_-@_-"/>
    <numFmt numFmtId="171" formatCode="_(* #,##0.00_);_(* \(#,##0.00\);_(* &quot;-&quot;??_);_(@_)"/>
  </numFmts>
  <fonts count="40" x14ac:knownFonts="1">
    <font>
      <sz val="11"/>
      <color theme="1"/>
      <name val="Calibri"/>
      <family val="2"/>
      <charset val="186"/>
      <scheme val="minor"/>
    </font>
    <font>
      <sz val="8"/>
      <color theme="1"/>
      <name val="Arial"/>
      <family val="2"/>
      <charset val="186"/>
    </font>
    <font>
      <sz val="8"/>
      <color theme="1"/>
      <name val="Arial"/>
      <family val="2"/>
      <charset val="186"/>
    </font>
    <font>
      <sz val="8"/>
      <color theme="1"/>
      <name val="Arial"/>
      <family val="2"/>
      <charset val="186"/>
    </font>
    <font>
      <sz val="8"/>
      <color theme="1"/>
      <name val="Arial"/>
      <family val="2"/>
      <charset val="186"/>
    </font>
    <font>
      <sz val="8"/>
      <color theme="1"/>
      <name val="Arial"/>
      <family val="2"/>
      <charset val="186"/>
    </font>
    <font>
      <sz val="8"/>
      <name val="Arial"/>
      <family val="2"/>
      <charset val="186"/>
    </font>
    <font>
      <b/>
      <sz val="8"/>
      <name val="Arial"/>
      <family val="2"/>
      <charset val="186"/>
    </font>
    <font>
      <sz val="10"/>
      <name val="Arial"/>
      <family val="2"/>
      <charset val="186"/>
    </font>
    <font>
      <sz val="10"/>
      <name val="Arial"/>
      <family val="2"/>
      <charset val="204"/>
    </font>
    <font>
      <sz val="9"/>
      <color indexed="81"/>
      <name val="Tahoma"/>
      <family val="2"/>
      <charset val="186"/>
    </font>
    <font>
      <b/>
      <sz val="9"/>
      <color indexed="81"/>
      <name val="Tahoma"/>
      <family val="2"/>
      <charset val="186"/>
    </font>
    <font>
      <sz val="11"/>
      <color theme="1"/>
      <name val="Calibri"/>
      <family val="2"/>
      <charset val="186"/>
      <scheme val="minor"/>
    </font>
    <font>
      <sz val="10"/>
      <name val="Arial"/>
      <family val="2"/>
      <charset val="186"/>
    </font>
    <font>
      <sz val="8"/>
      <color rgb="FFFF0000"/>
      <name val="Arial"/>
      <family val="2"/>
      <charset val="186"/>
    </font>
    <font>
      <sz val="8"/>
      <color rgb="FF000000"/>
      <name val="Arial"/>
      <family val="2"/>
      <charset val="186"/>
    </font>
    <font>
      <b/>
      <sz val="8"/>
      <color rgb="FF000000"/>
      <name val="Arial"/>
      <family val="2"/>
      <charset val="186"/>
    </font>
    <font>
      <sz val="8"/>
      <color rgb="FF009900"/>
      <name val="Arial"/>
      <family val="2"/>
      <charset val="186"/>
    </font>
    <font>
      <b/>
      <sz val="8"/>
      <color rgb="FF009900"/>
      <name val="Arial"/>
      <family val="2"/>
      <charset val="186"/>
    </font>
    <font>
      <b/>
      <sz val="8"/>
      <color rgb="FFFF0000"/>
      <name val="Arial"/>
      <family val="2"/>
      <charset val="186"/>
    </font>
    <font>
      <i/>
      <sz val="11"/>
      <color indexed="23"/>
      <name val="Calibri"/>
      <family val="2"/>
      <charset val="186"/>
    </font>
    <font>
      <i/>
      <sz val="8"/>
      <color indexed="23"/>
      <name val="Arial"/>
      <family val="2"/>
      <charset val="186"/>
    </font>
    <font>
      <sz val="10"/>
      <name val="Helv"/>
    </font>
    <font>
      <sz val="10"/>
      <name val="Arial"/>
      <family val="2"/>
    </font>
    <font>
      <b/>
      <i/>
      <sz val="8"/>
      <name val="Arial"/>
      <family val="2"/>
      <charset val="186"/>
    </font>
    <font>
      <sz val="8"/>
      <name val="Calibri"/>
      <family val="2"/>
      <charset val="186"/>
      <scheme val="minor"/>
    </font>
    <font>
      <sz val="10"/>
      <name val="Arial"/>
      <family val="2"/>
      <charset val="1"/>
    </font>
    <font>
      <sz val="11"/>
      <color indexed="8"/>
      <name val="Calibri"/>
      <family val="2"/>
      <charset val="204"/>
    </font>
    <font>
      <b/>
      <sz val="8"/>
      <color theme="1"/>
      <name val="Arial"/>
      <family val="2"/>
      <charset val="186"/>
    </font>
    <font>
      <sz val="8"/>
      <color indexed="17"/>
      <name val="Arial"/>
      <family val="2"/>
      <charset val="186"/>
    </font>
    <font>
      <sz val="8"/>
      <color indexed="10"/>
      <name val="Arial"/>
      <family val="2"/>
      <charset val="186"/>
    </font>
    <font>
      <b/>
      <sz val="8"/>
      <color indexed="17"/>
      <name val="Arial"/>
      <family val="2"/>
      <charset val="186"/>
    </font>
    <font>
      <sz val="8"/>
      <name val="Arial"/>
      <family val="2"/>
    </font>
    <font>
      <sz val="8"/>
      <name val="Symbol"/>
      <family val="1"/>
      <charset val="2"/>
    </font>
    <font>
      <sz val="10"/>
      <name val="Symbol"/>
      <family val="1"/>
      <charset val="2"/>
    </font>
    <font>
      <sz val="8"/>
      <name val="Arial"/>
      <family val="2"/>
      <charset val="204"/>
    </font>
    <font>
      <b/>
      <sz val="8"/>
      <name val="Arial"/>
      <family val="2"/>
      <charset val="204"/>
    </font>
    <font>
      <sz val="7"/>
      <color theme="1"/>
      <name val="Arial"/>
      <family val="2"/>
      <charset val="186"/>
    </font>
    <font>
      <sz val="10"/>
      <name val="Times New Roman"/>
      <family val="1"/>
      <charset val="186"/>
    </font>
    <font>
      <b/>
      <sz val="11"/>
      <color indexed="8"/>
      <name val="Times New Roman"/>
      <family val="1"/>
      <charset val="186"/>
    </font>
  </fonts>
  <fills count="2">
    <fill>
      <patternFill patternType="none"/>
    </fill>
    <fill>
      <patternFill patternType="gray125"/>
    </fill>
  </fills>
  <borders count="71">
    <border>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bottom style="hair">
        <color indexed="64"/>
      </bottom>
      <diagonal/>
    </border>
    <border>
      <left style="medium">
        <color indexed="64"/>
      </left>
      <right/>
      <top/>
      <bottom/>
      <diagonal/>
    </border>
    <border>
      <left/>
      <right/>
      <top style="hair">
        <color indexed="64"/>
      </top>
      <bottom style="hair">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s>
  <cellStyleXfs count="18">
    <xf numFmtId="0" fontId="0" fillId="0" borderId="0"/>
    <xf numFmtId="0" fontId="8" fillId="0" borderId="0"/>
    <xf numFmtId="0" fontId="8" fillId="0" borderId="0"/>
    <xf numFmtId="0" fontId="9" fillId="0" borderId="0"/>
    <xf numFmtId="43" fontId="12" fillId="0" borderId="0" applyFont="0" applyFill="0" applyBorder="0" applyAlignment="0" applyProtection="0"/>
    <xf numFmtId="0" fontId="13" fillId="0" borderId="0"/>
    <xf numFmtId="0" fontId="20" fillId="0" borderId="0" applyNumberFormat="0" applyFill="0" applyBorder="0" applyAlignment="0" applyProtection="0"/>
    <xf numFmtId="170" fontId="9" fillId="0" borderId="0" applyFont="0" applyFill="0" applyBorder="0" applyAlignment="0" applyProtection="0"/>
    <xf numFmtId="0" fontId="21" fillId="0" borderId="0" applyNumberFormat="0" applyFill="0" applyBorder="0" applyAlignment="0" applyProtection="0"/>
    <xf numFmtId="0" fontId="23" fillId="0" borderId="0"/>
    <xf numFmtId="0" fontId="9" fillId="0" borderId="0"/>
    <xf numFmtId="0" fontId="27" fillId="0" borderId="0"/>
    <xf numFmtId="0" fontId="26" fillId="0" borderId="0"/>
    <xf numFmtId="0" fontId="26" fillId="0" borderId="0"/>
    <xf numFmtId="0" fontId="22" fillId="0" borderId="0"/>
    <xf numFmtId="0" fontId="26" fillId="0" borderId="0"/>
    <xf numFmtId="0" fontId="26" fillId="0" borderId="0"/>
    <xf numFmtId="0" fontId="38" fillId="0" borderId="0"/>
  </cellStyleXfs>
  <cellXfs count="391">
    <xf numFmtId="0" fontId="0" fillId="0" borderId="0" xfId="0"/>
    <xf numFmtId="0" fontId="6" fillId="0" borderId="0" xfId="0" applyFont="1"/>
    <xf numFmtId="0" fontId="7" fillId="0" borderId="1" xfId="0" applyFont="1" applyBorder="1" applyAlignment="1">
      <alignment horizontal="center"/>
    </xf>
    <xf numFmtId="0" fontId="7" fillId="0" borderId="2"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4" fontId="6" fillId="0" borderId="7" xfId="0" applyNumberFormat="1" applyFont="1" applyBorder="1" applyAlignment="1">
      <alignment horizontal="center" vertical="center"/>
    </xf>
    <xf numFmtId="0" fontId="6" fillId="0" borderId="10" xfId="0" applyFont="1" applyBorder="1"/>
    <xf numFmtId="0" fontId="7" fillId="0" borderId="11" xfId="0" applyFont="1" applyBorder="1" applyAlignment="1">
      <alignment horizontal="right"/>
    </xf>
    <xf numFmtId="2" fontId="7" fillId="0" borderId="12" xfId="0" applyNumberFormat="1" applyFont="1" applyBorder="1" applyAlignment="1">
      <alignment horizontal="center" vertical="center"/>
    </xf>
    <xf numFmtId="2" fontId="7" fillId="0" borderId="0" xfId="0" applyNumberFormat="1" applyFont="1" applyAlignment="1">
      <alignment horizontal="center" vertical="center"/>
    </xf>
    <xf numFmtId="2" fontId="6" fillId="0" borderId="14" xfId="0" applyNumberFormat="1" applyFont="1" applyBorder="1" applyAlignment="1">
      <alignment horizontal="center" vertical="center"/>
    </xf>
    <xf numFmtId="0" fontId="6" fillId="0" borderId="0" xfId="0" applyFont="1" applyAlignment="1">
      <alignment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2" fontId="6" fillId="0" borderId="0" xfId="0" applyNumberFormat="1" applyFont="1"/>
    <xf numFmtId="0" fontId="6" fillId="0" borderId="0" xfId="0" applyFont="1" applyAlignment="1">
      <alignment vertical="center"/>
    </xf>
    <xf numFmtId="164" fontId="6" fillId="0" borderId="20" xfId="0" applyNumberFormat="1" applyFont="1" applyBorder="1" applyAlignment="1">
      <alignment horizontal="center" vertical="center" wrapText="1"/>
    </xf>
    <xf numFmtId="164" fontId="6" fillId="0" borderId="28" xfId="0" applyNumberFormat="1" applyFont="1" applyBorder="1" applyAlignment="1">
      <alignment horizontal="center" vertical="center" wrapText="1"/>
    </xf>
    <xf numFmtId="164" fontId="6" fillId="0" borderId="4" xfId="0" applyNumberFormat="1" applyFont="1" applyBorder="1" applyAlignment="1">
      <alignment horizontal="center"/>
    </xf>
    <xf numFmtId="164" fontId="6" fillId="0" borderId="0" xfId="0" applyNumberFormat="1" applyFont="1"/>
    <xf numFmtId="164" fontId="6" fillId="0" borderId="34" xfId="0" applyNumberFormat="1" applyFont="1" applyBorder="1" applyAlignment="1">
      <alignment horizontal="center"/>
    </xf>
    <xf numFmtId="164" fontId="6" fillId="0" borderId="20" xfId="0" applyNumberFormat="1" applyFont="1" applyBorder="1" applyAlignment="1">
      <alignment horizontal="center" vertical="center"/>
    </xf>
    <xf numFmtId="164" fontId="6" fillId="0" borderId="29" xfId="0" applyNumberFormat="1" applyFont="1" applyBorder="1" applyAlignment="1">
      <alignment horizontal="center" vertical="center" wrapText="1"/>
    </xf>
    <xf numFmtId="166" fontId="7" fillId="0" borderId="4" xfId="0" applyNumberFormat="1" applyFont="1" applyBorder="1" applyAlignment="1">
      <alignment horizontal="center"/>
    </xf>
    <xf numFmtId="166" fontId="6" fillId="0" borderId="7" xfId="0" applyNumberFormat="1" applyFont="1" applyBorder="1" applyAlignment="1">
      <alignment horizontal="center"/>
    </xf>
    <xf numFmtId="166" fontId="7" fillId="0" borderId="7" xfId="0" applyNumberFormat="1" applyFont="1" applyBorder="1" applyAlignment="1">
      <alignment horizontal="center"/>
    </xf>
    <xf numFmtId="165" fontId="6" fillId="0" borderId="2" xfId="0" applyNumberFormat="1" applyFont="1" applyBorder="1" applyAlignment="1">
      <alignment horizontal="center" vertical="center" wrapText="1"/>
    </xf>
    <xf numFmtId="165" fontId="6" fillId="0" borderId="5" xfId="0" applyNumberFormat="1" applyFont="1" applyBorder="1" applyAlignment="1">
      <alignment horizontal="center" vertical="center" wrapText="1"/>
    </xf>
    <xf numFmtId="0" fontId="6" fillId="0" borderId="39" xfId="0" applyFont="1" applyBorder="1" applyAlignment="1">
      <alignment wrapText="1"/>
    </xf>
    <xf numFmtId="0" fontId="7" fillId="0" borderId="39" xfId="0" applyFont="1" applyBorder="1" applyAlignment="1">
      <alignment wrapText="1"/>
    </xf>
    <xf numFmtId="0" fontId="7" fillId="0" borderId="37" xfId="0" applyFont="1" applyBorder="1" applyAlignment="1">
      <alignment wrapText="1"/>
    </xf>
    <xf numFmtId="164" fontId="6" fillId="0" borderId="0" xfId="0" applyNumberFormat="1" applyFont="1" applyAlignment="1">
      <alignment horizontal="center" vertical="justify"/>
    </xf>
    <xf numFmtId="1" fontId="6" fillId="0" borderId="5" xfId="0" applyNumberFormat="1" applyFont="1" applyBorder="1" applyAlignment="1">
      <alignment horizontal="center" vertical="center" wrapText="1"/>
    </xf>
    <xf numFmtId="0" fontId="6" fillId="0" borderId="0" xfId="0" applyFont="1" applyAlignment="1">
      <alignment vertical="justify"/>
    </xf>
    <xf numFmtId="9" fontId="6" fillId="0" borderId="38" xfId="0" applyNumberFormat="1" applyFont="1" applyBorder="1" applyAlignment="1"/>
    <xf numFmtId="9" fontId="6" fillId="0" borderId="0" xfId="0" applyNumberFormat="1" applyFont="1" applyAlignment="1"/>
    <xf numFmtId="1" fontId="6" fillId="0" borderId="0" xfId="0" applyNumberFormat="1" applyFont="1" applyAlignment="1"/>
    <xf numFmtId="0" fontId="7" fillId="0" borderId="0" xfId="0" applyFont="1"/>
    <xf numFmtId="0" fontId="6" fillId="0" borderId="6" xfId="0" applyFont="1" applyBorder="1" applyAlignment="1">
      <alignment wrapText="1"/>
    </xf>
    <xf numFmtId="164" fontId="7" fillId="0" borderId="41" xfId="0" applyNumberFormat="1" applyFont="1" applyBorder="1" applyAlignment="1">
      <alignment horizontal="center"/>
    </xf>
    <xf numFmtId="164" fontId="7" fillId="0" borderId="33" xfId="0" applyNumberFormat="1" applyFont="1" applyBorder="1" applyAlignment="1">
      <alignment horizontal="center"/>
    </xf>
    <xf numFmtId="0" fontId="15" fillId="0" borderId="0" xfId="0" applyFont="1" applyAlignment="1">
      <alignment horizontal="right" wrapText="1"/>
    </xf>
    <xf numFmtId="0" fontId="15" fillId="0" borderId="2" xfId="0" applyFont="1" applyBorder="1" applyAlignment="1">
      <alignment vertical="center"/>
    </xf>
    <xf numFmtId="0" fontId="15" fillId="0" borderId="0" xfId="0" applyFont="1" applyAlignment="1">
      <alignment horizontal="left"/>
    </xf>
    <xf numFmtId="0" fontId="15" fillId="0" borderId="0" xfId="0" applyFont="1" applyAlignment="1">
      <alignment horizontal="right"/>
    </xf>
    <xf numFmtId="0" fontId="15" fillId="0" borderId="0" xfId="0" applyFont="1" applyAlignment="1">
      <alignment horizontal="left" vertical="center"/>
    </xf>
    <xf numFmtId="0" fontId="15" fillId="0" borderId="0" xfId="0" applyFont="1"/>
    <xf numFmtId="0" fontId="16" fillId="0" borderId="28" xfId="0" applyFont="1" applyBorder="1" applyAlignment="1">
      <alignment horizontal="center" vertical="center" wrapText="1"/>
    </xf>
    <xf numFmtId="0" fontId="14" fillId="0" borderId="28" xfId="0" applyFont="1" applyBorder="1" applyAlignment="1">
      <alignment horizontal="center" vertical="center"/>
    </xf>
    <xf numFmtId="0" fontId="15" fillId="0" borderId="0" xfId="0" applyFont="1" applyAlignment="1">
      <alignment horizontal="right" vertical="center" wrapText="1"/>
    </xf>
    <xf numFmtId="0" fontId="19" fillId="0" borderId="0" xfId="0" applyFont="1" applyAlignment="1">
      <alignment horizontal="center" vertical="center"/>
    </xf>
    <xf numFmtId="1" fontId="15" fillId="0" borderId="0" xfId="0" applyNumberFormat="1" applyFont="1"/>
    <xf numFmtId="164" fontId="6" fillId="0" borderId="44" xfId="0" applyNumberFormat="1" applyFont="1" applyBorder="1" applyAlignment="1">
      <alignment horizontal="center" vertical="center" wrapText="1"/>
    </xf>
    <xf numFmtId="164" fontId="6" fillId="0" borderId="44" xfId="0" applyNumberFormat="1" applyFont="1" applyBorder="1" applyAlignment="1">
      <alignment horizontal="center" vertical="center"/>
    </xf>
    <xf numFmtId="0" fontId="6" fillId="0" borderId="0" xfId="5" applyFont="1" applyFill="1" applyBorder="1" applyAlignment="1">
      <alignment vertical="center" wrapText="1"/>
    </xf>
    <xf numFmtId="0" fontId="7" fillId="0" borderId="0" xfId="5" applyFont="1" applyFill="1" applyBorder="1" applyAlignment="1">
      <alignment vertical="center"/>
    </xf>
    <xf numFmtId="0" fontId="6" fillId="0" borderId="0" xfId="5" applyFont="1" applyFill="1" applyBorder="1" applyAlignment="1">
      <alignment vertical="center"/>
    </xf>
    <xf numFmtId="0" fontId="6" fillId="0" borderId="0" xfId="5" applyFont="1" applyFill="1" applyAlignment="1">
      <alignment horizontal="center" vertical="center"/>
    </xf>
    <xf numFmtId="0" fontId="6" fillId="0" borderId="28" xfId="0" applyFont="1" applyFill="1" applyBorder="1" applyAlignment="1">
      <alignment horizontal="center" vertical="center" wrapText="1"/>
    </xf>
    <xf numFmtId="49" fontId="6" fillId="0" borderId="28" xfId="0" applyNumberFormat="1" applyFont="1" applyFill="1" applyBorder="1" applyAlignment="1">
      <alignment horizontal="center" vertical="center" wrapText="1"/>
    </xf>
    <xf numFmtId="0" fontId="6" fillId="0" borderId="28" xfId="0" applyFont="1" applyFill="1" applyBorder="1" applyAlignment="1">
      <alignment vertical="center" wrapText="1"/>
    </xf>
    <xf numFmtId="0" fontId="6" fillId="0" borderId="28" xfId="0" applyFont="1" applyFill="1" applyBorder="1" applyAlignment="1">
      <alignment horizontal="left" vertical="center" wrapText="1"/>
    </xf>
    <xf numFmtId="0" fontId="15" fillId="0" borderId="5" xfId="0" applyFont="1" applyFill="1" applyBorder="1" applyAlignment="1">
      <alignment horizontal="right" vertical="center"/>
    </xf>
    <xf numFmtId="0" fontId="17" fillId="0" borderId="28" xfId="0" applyFont="1" applyFill="1" applyBorder="1" applyAlignment="1">
      <alignment horizontal="center" vertical="center"/>
    </xf>
    <xf numFmtId="0" fontId="14" fillId="0" borderId="28" xfId="0" applyFont="1" applyFill="1" applyBorder="1" applyAlignment="1">
      <alignment horizontal="center" vertical="center"/>
    </xf>
    <xf numFmtId="2" fontId="17" fillId="0" borderId="28" xfId="0" applyNumberFormat="1" applyFont="1" applyFill="1" applyBorder="1" applyAlignment="1">
      <alignment horizontal="center" vertical="center"/>
    </xf>
    <xf numFmtId="2" fontId="18" fillId="0" borderId="28" xfId="0" applyNumberFormat="1" applyFont="1" applyFill="1" applyBorder="1" applyAlignment="1">
      <alignment horizontal="center" vertical="center"/>
    </xf>
    <xf numFmtId="0" fontId="15" fillId="0" borderId="29" xfId="0" applyFont="1" applyFill="1" applyBorder="1" applyAlignment="1">
      <alignment horizontal="center" vertical="center" wrapText="1"/>
    </xf>
    <xf numFmtId="0" fontId="29" fillId="0" borderId="46" xfId="0" applyFont="1" applyFill="1" applyBorder="1" applyAlignment="1">
      <alignment horizontal="center" vertical="center"/>
    </xf>
    <xf numFmtId="0" fontId="30" fillId="0" borderId="46" xfId="0" applyFont="1" applyFill="1" applyBorder="1" applyAlignment="1">
      <alignment horizontal="center" vertical="center"/>
    </xf>
    <xf numFmtId="2" fontId="29" fillId="0" borderId="46" xfId="0" applyNumberFormat="1" applyFont="1" applyFill="1" applyBorder="1" applyAlignment="1">
      <alignment horizontal="center" vertical="center"/>
    </xf>
    <xf numFmtId="2" fontId="31" fillId="0" borderId="46" xfId="0" applyNumberFormat="1" applyFont="1" applyFill="1" applyBorder="1" applyAlignment="1">
      <alignment horizontal="center" vertical="center"/>
    </xf>
    <xf numFmtId="0" fontId="15" fillId="0" borderId="47" xfId="0" applyFont="1" applyFill="1" applyBorder="1" applyAlignment="1">
      <alignment horizontal="right" vertical="center"/>
    </xf>
    <xf numFmtId="0" fontId="15" fillId="0" borderId="48" xfId="0" applyFont="1" applyFill="1" applyBorder="1" applyAlignment="1">
      <alignment horizontal="center" vertical="center" wrapText="1"/>
    </xf>
    <xf numFmtId="2" fontId="6" fillId="0" borderId="28" xfId="0" applyNumberFormat="1" applyFont="1" applyFill="1" applyBorder="1" applyAlignment="1">
      <alignment horizontal="center" vertical="center" wrapText="1"/>
    </xf>
    <xf numFmtId="0" fontId="7" fillId="0" borderId="28" xfId="0" applyFont="1" applyFill="1" applyBorder="1" applyAlignment="1">
      <alignment horizontal="center" vertical="center" wrapText="1"/>
    </xf>
    <xf numFmtId="2" fontId="6" fillId="0" borderId="45" xfId="0" applyNumberFormat="1" applyFont="1" applyFill="1" applyBorder="1" applyAlignment="1">
      <alignment horizontal="center" vertical="center" wrapText="1"/>
    </xf>
    <xf numFmtId="43" fontId="6" fillId="0" borderId="45" xfId="4" applyFont="1" applyFill="1" applyBorder="1" applyAlignment="1">
      <alignment horizontal="center" vertical="center"/>
    </xf>
    <xf numFmtId="43" fontId="6" fillId="0" borderId="45" xfId="4" applyFont="1" applyFill="1" applyBorder="1" applyAlignment="1">
      <alignment horizontal="center" vertical="center" wrapText="1"/>
    </xf>
    <xf numFmtId="2" fontId="6" fillId="0" borderId="51" xfId="0" applyNumberFormat="1" applyFont="1" applyFill="1" applyBorder="1" applyAlignment="1">
      <alignment horizontal="center" vertical="center" wrapText="1"/>
    </xf>
    <xf numFmtId="43" fontId="6" fillId="0" borderId="51" xfId="4" applyFont="1" applyFill="1" applyBorder="1" applyAlignment="1">
      <alignment horizontal="center" vertical="center"/>
    </xf>
    <xf numFmtId="43" fontId="6" fillId="0" borderId="51" xfId="4" applyFont="1" applyFill="1" applyBorder="1" applyAlignment="1">
      <alignment horizontal="center" vertical="center" wrapText="1"/>
    </xf>
    <xf numFmtId="0" fontId="6" fillId="0" borderId="51" xfId="0" applyFont="1" applyFill="1" applyBorder="1" applyAlignment="1">
      <alignment horizontal="center" vertical="center" wrapText="1"/>
    </xf>
    <xf numFmtId="0" fontId="6" fillId="0" borderId="0" xfId="0" applyFont="1" applyAlignment="1">
      <alignment horizontal="center"/>
    </xf>
    <xf numFmtId="0" fontId="6" fillId="0" borderId="0" xfId="0" applyFont="1" applyAlignment="1">
      <alignment horizontal="right"/>
    </xf>
    <xf numFmtId="0" fontId="7" fillId="0" borderId="0" xfId="0" applyFont="1" applyAlignment="1">
      <alignment horizontal="center"/>
    </xf>
    <xf numFmtId="0" fontId="6" fillId="0" borderId="0" xfId="0" applyFont="1" applyAlignment="1">
      <alignment horizontal="center" vertical="justify"/>
    </xf>
    <xf numFmtId="0" fontId="7" fillId="0" borderId="0" xfId="0" applyFont="1" applyAlignment="1">
      <alignment horizontal="right"/>
    </xf>
    <xf numFmtId="0" fontId="7" fillId="0" borderId="30" xfId="0" applyFont="1" applyBorder="1" applyAlignment="1">
      <alignment horizontal="right"/>
    </xf>
    <xf numFmtId="0" fontId="15" fillId="0" borderId="28" xfId="0" applyFont="1" applyBorder="1" applyAlignment="1">
      <alignment horizontal="center" vertical="center" wrapText="1"/>
    </xf>
    <xf numFmtId="0" fontId="15" fillId="0" borderId="20" xfId="0" applyFont="1" applyBorder="1" applyAlignment="1">
      <alignment horizontal="center" vertical="center"/>
    </xf>
    <xf numFmtId="0" fontId="15" fillId="0" borderId="28" xfId="0" applyFont="1" applyBorder="1" applyAlignment="1">
      <alignment horizontal="center" vertical="center"/>
    </xf>
    <xf numFmtId="0" fontId="6" fillId="0" borderId="0" xfId="5" applyFont="1" applyFill="1"/>
    <xf numFmtId="0" fontId="7" fillId="0" borderId="0" xfId="0" applyFont="1" applyFill="1" applyAlignment="1">
      <alignment horizontal="center" vertical="center" wrapText="1"/>
    </xf>
    <xf numFmtId="2" fontId="6" fillId="0" borderId="28" xfId="5" applyNumberFormat="1" applyFont="1" applyFill="1" applyBorder="1" applyAlignment="1">
      <alignment horizontal="center" vertical="center" wrapText="1"/>
    </xf>
    <xf numFmtId="167" fontId="6" fillId="0" borderId="28" xfId="4" applyNumberFormat="1" applyFont="1" applyFill="1" applyBorder="1" applyAlignment="1" applyProtection="1">
      <alignment horizontal="center" vertical="center"/>
    </xf>
    <xf numFmtId="167" fontId="6" fillId="0" borderId="28" xfId="4" applyNumberFormat="1" applyFont="1" applyFill="1" applyBorder="1" applyAlignment="1" applyProtection="1">
      <alignment horizontal="center" vertical="center" wrapText="1"/>
    </xf>
    <xf numFmtId="171" fontId="6" fillId="0" borderId="28" xfId="10" applyNumberFormat="1" applyFont="1" applyFill="1" applyBorder="1" applyAlignment="1">
      <alignment horizontal="center" vertical="center" wrapText="1"/>
    </xf>
    <xf numFmtId="2" fontId="6" fillId="0" borderId="28" xfId="5" applyNumberFormat="1" applyFont="1" applyFill="1" applyBorder="1" applyAlignment="1" applyProtection="1">
      <alignment horizontal="center" vertical="center" wrapText="1"/>
    </xf>
    <xf numFmtId="2" fontId="6" fillId="0" borderId="28" xfId="14" applyNumberFormat="1" applyFont="1" applyFill="1" applyBorder="1" applyAlignment="1" applyProtection="1">
      <alignment horizontal="center" vertical="center" wrapText="1"/>
    </xf>
    <xf numFmtId="0" fontId="6" fillId="0" borderId="28" xfId="5" applyFont="1" applyFill="1" applyBorder="1" applyAlignment="1">
      <alignment horizontal="center" vertical="center" wrapText="1"/>
    </xf>
    <xf numFmtId="0" fontId="6" fillId="0" borderId="58" xfId="0" applyFont="1" applyBorder="1" applyAlignment="1">
      <alignment wrapText="1"/>
    </xf>
    <xf numFmtId="0" fontId="15" fillId="0" borderId="28" xfId="0" applyFont="1" applyFill="1" applyBorder="1" applyAlignment="1">
      <alignment horizontal="right" vertical="center"/>
    </xf>
    <xf numFmtId="0" fontId="15" fillId="0" borderId="30" xfId="0" applyFont="1" applyFill="1" applyBorder="1" applyAlignment="1">
      <alignment horizontal="right" vertical="center"/>
    </xf>
    <xf numFmtId="0" fontId="6" fillId="0" borderId="31" xfId="0" applyFont="1" applyFill="1" applyBorder="1" applyAlignment="1">
      <alignment vertical="center"/>
    </xf>
    <xf numFmtId="1" fontId="15" fillId="0" borderId="31" xfId="0" applyNumberFormat="1" applyFont="1" applyFill="1" applyBorder="1" applyAlignment="1">
      <alignment horizontal="center" vertical="center"/>
    </xf>
    <xf numFmtId="1" fontId="19" fillId="0" borderId="31" xfId="0" applyNumberFormat="1" applyFont="1" applyFill="1" applyBorder="1" applyAlignment="1">
      <alignment horizontal="center" vertical="center"/>
    </xf>
    <xf numFmtId="0" fontId="6" fillId="0" borderId="6" xfId="0" applyFont="1" applyFill="1" applyBorder="1" applyAlignment="1">
      <alignment horizontal="center" vertical="center" wrapText="1"/>
    </xf>
    <xf numFmtId="1" fontId="6" fillId="0" borderId="28" xfId="0" applyNumberFormat="1" applyFont="1" applyFill="1" applyBorder="1" applyAlignment="1">
      <alignment horizontal="center" vertical="center" wrapText="1"/>
    </xf>
    <xf numFmtId="49" fontId="6" fillId="0" borderId="26" xfId="0" applyNumberFormat="1" applyFont="1" applyFill="1" applyBorder="1" applyAlignment="1">
      <alignment horizontal="center" vertical="center" wrapText="1"/>
    </xf>
    <xf numFmtId="0" fontId="6" fillId="0" borderId="26" xfId="0" applyFont="1" applyFill="1" applyBorder="1" applyAlignment="1">
      <alignment vertical="center" wrapText="1"/>
    </xf>
    <xf numFmtId="0" fontId="6" fillId="0" borderId="42" xfId="0" applyFont="1" applyFill="1" applyBorder="1" applyAlignment="1">
      <alignment horizontal="center" vertical="center" wrapText="1"/>
    </xf>
    <xf numFmtId="2" fontId="6" fillId="0" borderId="26" xfId="0" applyNumberFormat="1" applyFont="1" applyFill="1" applyBorder="1" applyAlignment="1">
      <alignment horizontal="center" vertical="center" wrapText="1"/>
    </xf>
    <xf numFmtId="0" fontId="6" fillId="0" borderId="28" xfId="0" applyFont="1" applyFill="1" applyBorder="1" applyAlignment="1">
      <alignment horizontal="center" vertical="center"/>
    </xf>
    <xf numFmtId="2" fontId="6" fillId="0" borderId="28" xfId="0" applyNumberFormat="1" applyFont="1" applyFill="1" applyBorder="1" applyAlignment="1">
      <alignment horizontal="center" vertical="center"/>
    </xf>
    <xf numFmtId="0" fontId="6" fillId="0" borderId="28" xfId="0" applyFont="1" applyFill="1" applyBorder="1" applyAlignment="1">
      <alignment horizontal="right" vertical="center" wrapText="1"/>
    </xf>
    <xf numFmtId="0" fontId="6" fillId="0" borderId="45" xfId="0"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0" fontId="6" fillId="0" borderId="45" xfId="0" applyFont="1" applyFill="1" applyBorder="1" applyAlignment="1">
      <alignment horizontal="right" vertical="center" wrapText="1"/>
    </xf>
    <xf numFmtId="2" fontId="6" fillId="0" borderId="45" xfId="0" applyNumberFormat="1" applyFont="1" applyFill="1" applyBorder="1" applyAlignment="1">
      <alignment horizontal="center" vertical="center"/>
    </xf>
    <xf numFmtId="2" fontId="6" fillId="0" borderId="28" xfId="0" applyNumberFormat="1" applyFont="1" applyFill="1" applyBorder="1" applyAlignment="1">
      <alignment horizontal="left" vertical="center" wrapText="1"/>
    </xf>
    <xf numFmtId="2" fontId="6" fillId="0" borderId="28" xfId="6" applyNumberFormat="1" applyFont="1" applyFill="1" applyBorder="1" applyAlignment="1">
      <alignment horizontal="center" vertical="center" wrapText="1"/>
    </xf>
    <xf numFmtId="0" fontId="6" fillId="0" borderId="40" xfId="0" applyFont="1" applyFill="1" applyBorder="1" applyAlignment="1">
      <alignment horizontal="center" vertical="center" wrapText="1"/>
    </xf>
    <xf numFmtId="0" fontId="6" fillId="0" borderId="40" xfId="0" applyFont="1" applyFill="1" applyBorder="1" applyAlignment="1">
      <alignment horizontal="left" vertical="center" wrapText="1"/>
    </xf>
    <xf numFmtId="0" fontId="6" fillId="0" borderId="43" xfId="0" applyFont="1" applyFill="1" applyBorder="1" applyAlignment="1">
      <alignment horizontal="center" vertical="center" wrapText="1"/>
    </xf>
    <xf numFmtId="49" fontId="6" fillId="0" borderId="43" xfId="5" applyNumberFormat="1" applyFont="1" applyFill="1" applyBorder="1" applyAlignment="1">
      <alignment horizontal="center" vertical="center" wrapText="1"/>
    </xf>
    <xf numFmtId="0" fontId="6" fillId="0" borderId="43" xfId="13" applyFont="1" applyFill="1" applyBorder="1" applyAlignment="1">
      <alignment vertical="center" wrapText="1"/>
    </xf>
    <xf numFmtId="168" fontId="6" fillId="0" borderId="28" xfId="0" applyNumberFormat="1" applyFont="1" applyFill="1" applyBorder="1" applyAlignment="1">
      <alignment horizontal="center" vertical="center"/>
    </xf>
    <xf numFmtId="168" fontId="6" fillId="0" borderId="28" xfId="0" applyNumberFormat="1" applyFont="1" applyFill="1" applyBorder="1" applyAlignment="1">
      <alignment horizontal="center" vertical="center" wrapText="1"/>
    </xf>
    <xf numFmtId="2" fontId="6" fillId="0" borderId="45" xfId="0" applyNumberFormat="1" applyFont="1" applyFill="1" applyBorder="1" applyAlignment="1">
      <alignment horizontal="left" vertical="center" wrapText="1"/>
    </xf>
    <xf numFmtId="2" fontId="6" fillId="0" borderId="51" xfId="0" applyNumberFormat="1" applyFont="1" applyFill="1" applyBorder="1" applyAlignment="1">
      <alignment horizontal="left" vertical="center" wrapText="1"/>
    </xf>
    <xf numFmtId="49" fontId="6" fillId="0" borderId="51" xfId="0" applyNumberFormat="1" applyFont="1" applyFill="1" applyBorder="1" applyAlignment="1">
      <alignment horizontal="center" vertical="center" wrapText="1"/>
    </xf>
    <xf numFmtId="49" fontId="6" fillId="0" borderId="60" xfId="5" applyNumberFormat="1" applyFont="1" applyFill="1" applyBorder="1" applyAlignment="1">
      <alignment horizontal="center" vertical="center" wrapText="1"/>
    </xf>
    <xf numFmtId="0" fontId="6" fillId="0" borderId="60" xfId="13" applyFont="1" applyFill="1" applyBorder="1" applyAlignment="1">
      <alignment horizontal="center" vertical="center" wrapText="1"/>
    </xf>
    <xf numFmtId="0" fontId="6" fillId="0" borderId="63" xfId="13" applyFont="1" applyFill="1" applyBorder="1" applyAlignment="1">
      <alignment horizontal="center" vertical="center" wrapText="1"/>
    </xf>
    <xf numFmtId="0" fontId="6" fillId="0" borderId="22" xfId="0" applyFont="1" applyFill="1" applyBorder="1" applyAlignment="1">
      <alignment horizontal="left" vertical="center" wrapText="1"/>
    </xf>
    <xf numFmtId="0" fontId="6" fillId="0" borderId="64" xfId="0" applyFont="1" applyFill="1" applyBorder="1" applyAlignment="1">
      <alignment horizontal="left" vertical="center" wrapText="1"/>
    </xf>
    <xf numFmtId="0" fontId="6" fillId="0" borderId="64" xfId="0" applyFont="1" applyFill="1" applyBorder="1" applyAlignment="1">
      <alignment horizontal="center" vertical="center" wrapText="1"/>
    </xf>
    <xf numFmtId="0" fontId="7" fillId="0" borderId="28" xfId="0" applyFont="1" applyFill="1" applyBorder="1" applyAlignment="1">
      <alignment horizontal="left" vertical="center" wrapText="1"/>
    </xf>
    <xf numFmtId="0" fontId="6" fillId="0" borderId="6" xfId="0" applyFont="1" applyFill="1" applyBorder="1" applyAlignment="1">
      <alignment horizontal="center" vertical="center"/>
    </xf>
    <xf numFmtId="0" fontId="6" fillId="0" borderId="51" xfId="0" applyFont="1" applyFill="1" applyBorder="1" applyAlignment="1">
      <alignment horizontal="left" vertical="center" wrapText="1"/>
    </xf>
    <xf numFmtId="0" fontId="6" fillId="0" borderId="52" xfId="0" applyFont="1" applyFill="1" applyBorder="1" applyAlignment="1">
      <alignment horizontal="center" vertical="center" wrapText="1"/>
    </xf>
    <xf numFmtId="0" fontId="6" fillId="0" borderId="58" xfId="0" applyFont="1" applyFill="1" applyBorder="1" applyAlignment="1">
      <alignment horizontal="center" vertical="center" wrapText="1"/>
    </xf>
    <xf numFmtId="0" fontId="6" fillId="0" borderId="58" xfId="5" applyFont="1" applyFill="1" applyBorder="1" applyAlignment="1">
      <alignment horizontal="center" vertical="center" wrapText="1"/>
    </xf>
    <xf numFmtId="2" fontId="6" fillId="0" borderId="58" xfId="0" applyNumberFormat="1" applyFont="1" applyFill="1" applyBorder="1" applyAlignment="1">
      <alignment horizontal="center" vertical="center" wrapText="1"/>
    </xf>
    <xf numFmtId="167" fontId="6" fillId="0" borderId="58" xfId="7" applyNumberFormat="1" applyFont="1" applyFill="1" applyBorder="1" applyAlignment="1">
      <alignment horizontal="center" vertical="center"/>
    </xf>
    <xf numFmtId="167" fontId="6" fillId="0" borderId="58" xfId="7" applyNumberFormat="1" applyFont="1" applyFill="1" applyBorder="1" applyAlignment="1">
      <alignment horizontal="center" vertical="center" wrapText="1"/>
    </xf>
    <xf numFmtId="0" fontId="6" fillId="0" borderId="58" xfId="0" applyFont="1" applyBorder="1" applyAlignment="1">
      <alignment horizontal="center"/>
    </xf>
    <xf numFmtId="0" fontId="7" fillId="0" borderId="66" xfId="0" applyFont="1" applyBorder="1" applyAlignment="1">
      <alignment horizontal="center"/>
    </xf>
    <xf numFmtId="164" fontId="6" fillId="0" borderId="67" xfId="0" applyNumberFormat="1" applyFont="1" applyBorder="1" applyAlignment="1">
      <alignment horizontal="center"/>
    </xf>
    <xf numFmtId="9" fontId="6" fillId="0" borderId="58" xfId="0" applyNumberFormat="1" applyFont="1" applyBorder="1" applyAlignment="1">
      <alignment horizontal="center"/>
    </xf>
    <xf numFmtId="2" fontId="7" fillId="0" borderId="58" xfId="0" applyNumberFormat="1" applyFont="1" applyBorder="1" applyAlignment="1">
      <alignment horizontal="center" wrapText="1"/>
    </xf>
    <xf numFmtId="49" fontId="6" fillId="0" borderId="28" xfId="5" applyNumberFormat="1" applyFont="1" applyFill="1" applyBorder="1" applyAlignment="1" applyProtection="1">
      <alignment horizontal="center" vertical="center" wrapText="1"/>
    </xf>
    <xf numFmtId="164" fontId="6" fillId="0" borderId="70" xfId="0" applyNumberFormat="1" applyFont="1" applyBorder="1" applyAlignment="1">
      <alignment horizontal="center"/>
    </xf>
    <xf numFmtId="164" fontId="6" fillId="0" borderId="70" xfId="0" applyNumberFormat="1" applyFont="1" applyBorder="1" applyAlignment="1">
      <alignment horizontal="center" vertical="center" wrapText="1"/>
    </xf>
    <xf numFmtId="164" fontId="6" fillId="0" borderId="19" xfId="0" applyNumberFormat="1" applyFont="1" applyBorder="1" applyAlignment="1">
      <alignment horizontal="center" vertical="center" wrapText="1"/>
    </xf>
    <xf numFmtId="164" fontId="6" fillId="0" borderId="70" xfId="0" quotePrefix="1" applyNumberFormat="1" applyFont="1" applyBorder="1" applyAlignment="1">
      <alignment horizontal="center"/>
    </xf>
    <xf numFmtId="164" fontId="7" fillId="0" borderId="56" xfId="0" applyNumberFormat="1" applyFont="1" applyBorder="1" applyAlignment="1">
      <alignment horizontal="center"/>
    </xf>
    <xf numFmtId="0" fontId="6" fillId="0" borderId="65" xfId="0" applyFont="1" applyFill="1" applyBorder="1" applyAlignment="1">
      <alignment horizontal="center" vertical="center" wrapText="1"/>
    </xf>
    <xf numFmtId="49" fontId="6" fillId="0" borderId="65" xfId="0" applyNumberFormat="1" applyFont="1" applyFill="1" applyBorder="1" applyAlignment="1">
      <alignment horizontal="center" vertical="center" wrapText="1"/>
    </xf>
    <xf numFmtId="0" fontId="6" fillId="0" borderId="65" xfId="0" applyFont="1" applyFill="1" applyBorder="1" applyAlignment="1">
      <alignment horizontal="left" vertical="center" wrapText="1"/>
    </xf>
    <xf numFmtId="0" fontId="6" fillId="0" borderId="65" xfId="0" applyFont="1" applyFill="1" applyBorder="1" applyAlignment="1">
      <alignment horizontal="center" vertical="center"/>
    </xf>
    <xf numFmtId="49" fontId="6" fillId="0" borderId="28" xfId="5" applyNumberFormat="1" applyFont="1" applyFill="1" applyBorder="1" applyAlignment="1">
      <alignment horizontal="center" vertical="center" wrapText="1"/>
    </xf>
    <xf numFmtId="0" fontId="6" fillId="0" borderId="28" xfId="5" applyFont="1" applyFill="1" applyBorder="1" applyAlignment="1">
      <alignment vertical="center" wrapText="1"/>
    </xf>
    <xf numFmtId="0" fontId="6" fillId="0" borderId="45" xfId="0" applyFont="1" applyFill="1" applyBorder="1" applyAlignment="1">
      <alignment horizontal="left" vertical="center" wrapText="1"/>
    </xf>
    <xf numFmtId="168" fontId="6" fillId="0" borderId="45" xfId="0" applyNumberFormat="1" applyFont="1" applyFill="1" applyBorder="1" applyAlignment="1">
      <alignment horizontal="center" vertical="center" wrapText="1"/>
    </xf>
    <xf numFmtId="0" fontId="6" fillId="0" borderId="0" xfId="0" applyFont="1" applyFill="1" applyAlignment="1">
      <alignment vertical="center"/>
    </xf>
    <xf numFmtId="0" fontId="6" fillId="0" borderId="28" xfId="0" applyFont="1" applyFill="1" applyBorder="1" applyAlignment="1">
      <alignment horizontal="center" wrapText="1"/>
    </xf>
    <xf numFmtId="168" fontId="5" fillId="0" borderId="28" xfId="0" applyNumberFormat="1" applyFont="1" applyFill="1" applyBorder="1" applyAlignment="1">
      <alignment horizontal="center" vertical="center" wrapText="1"/>
    </xf>
    <xf numFmtId="168" fontId="5" fillId="0" borderId="28" xfId="0" applyNumberFormat="1" applyFont="1" applyFill="1" applyBorder="1" applyAlignment="1">
      <alignment horizontal="center" wrapText="1"/>
    </xf>
    <xf numFmtId="2" fontId="32" fillId="0" borderId="28" xfId="0" applyNumberFormat="1" applyFont="1" applyFill="1" applyBorder="1"/>
    <xf numFmtId="1" fontId="32" fillId="0" borderId="28" xfId="0" applyNumberFormat="1" applyFont="1" applyFill="1" applyBorder="1" applyAlignment="1">
      <alignment horizontal="center"/>
    </xf>
    <xf numFmtId="0" fontId="6" fillId="0" borderId="0" xfId="0" applyFont="1" applyFill="1" applyAlignment="1">
      <alignment wrapText="1"/>
    </xf>
    <xf numFmtId="0" fontId="6" fillId="0" borderId="0" xfId="0" applyFont="1" applyFill="1"/>
    <xf numFmtId="0" fontId="6" fillId="0" borderId="0" xfId="0" applyFont="1" applyFill="1" applyAlignment="1">
      <alignment vertical="center" wrapText="1"/>
    </xf>
    <xf numFmtId="168" fontId="6" fillId="0" borderId="28" xfId="0" applyNumberFormat="1" applyFont="1" applyFill="1" applyBorder="1" applyAlignment="1">
      <alignment horizontal="center" wrapText="1"/>
    </xf>
    <xf numFmtId="2" fontId="6" fillId="0" borderId="28" xfId="0" applyNumberFormat="1" applyFont="1" applyFill="1" applyBorder="1" applyAlignment="1">
      <alignment horizontal="center" wrapText="1"/>
    </xf>
    <xf numFmtId="1" fontId="6" fillId="0" borderId="28" xfId="0" applyNumberFormat="1" applyFont="1" applyFill="1" applyBorder="1" applyAlignment="1">
      <alignment horizontal="center" wrapText="1"/>
    </xf>
    <xf numFmtId="168" fontId="6" fillId="0" borderId="28" xfId="0" applyNumberFormat="1" applyFont="1" applyFill="1" applyBorder="1" applyAlignment="1">
      <alignment horizontal="center"/>
    </xf>
    <xf numFmtId="0" fontId="6" fillId="0" borderId="65" xfId="0" applyFont="1" applyFill="1" applyBorder="1" applyAlignment="1">
      <alignment horizontal="center" wrapText="1"/>
    </xf>
    <xf numFmtId="1" fontId="6" fillId="0" borderId="58" xfId="0" applyNumberFormat="1" applyFont="1" applyFill="1" applyBorder="1" applyAlignment="1">
      <alignment horizontal="center" wrapText="1"/>
    </xf>
    <xf numFmtId="0" fontId="6" fillId="0" borderId="61" xfId="0" applyFont="1" applyFill="1" applyBorder="1" applyAlignment="1">
      <alignment horizontal="center" vertical="center" wrapText="1"/>
    </xf>
    <xf numFmtId="168" fontId="6" fillId="0" borderId="60" xfId="0" applyNumberFormat="1" applyFont="1" applyFill="1" applyBorder="1" applyAlignment="1">
      <alignment horizontal="center" vertical="center" wrapText="1"/>
    </xf>
    <xf numFmtId="168" fontId="6" fillId="0" borderId="62" xfId="0" applyNumberFormat="1" applyFont="1" applyFill="1" applyBorder="1" applyAlignment="1">
      <alignment horizontal="center" vertical="center" wrapText="1"/>
    </xf>
    <xf numFmtId="168" fontId="6" fillId="0" borderId="61" xfId="0" applyNumberFormat="1" applyFont="1" applyFill="1" applyBorder="1" applyAlignment="1">
      <alignment horizontal="center" vertical="center" wrapText="1"/>
    </xf>
    <xf numFmtId="0" fontId="7" fillId="0" borderId="61" xfId="0" applyFont="1" applyFill="1" applyBorder="1" applyAlignment="1">
      <alignment horizontal="left" vertical="center" wrapText="1"/>
    </xf>
    <xf numFmtId="168" fontId="6" fillId="0" borderId="60" xfId="13" applyNumberFormat="1" applyFont="1" applyFill="1" applyBorder="1" applyAlignment="1">
      <alignment horizontal="center" vertical="center"/>
    </xf>
    <xf numFmtId="0" fontId="4" fillId="0" borderId="28" xfId="0" applyFont="1" applyFill="1" applyBorder="1" applyAlignment="1">
      <alignment horizontal="center" wrapText="1"/>
    </xf>
    <xf numFmtId="0" fontId="4" fillId="0" borderId="28" xfId="0" applyFont="1" applyFill="1" applyBorder="1" applyAlignment="1">
      <alignment horizontal="center" vertical="center" wrapText="1"/>
    </xf>
    <xf numFmtId="2" fontId="6" fillId="0" borderId="64" xfId="0" applyNumberFormat="1" applyFont="1" applyFill="1" applyBorder="1" applyAlignment="1">
      <alignment horizontal="center" vertical="center" wrapText="1"/>
    </xf>
    <xf numFmtId="2" fontId="6" fillId="0" borderId="40" xfId="0" applyNumberFormat="1" applyFont="1" applyFill="1" applyBorder="1" applyAlignment="1">
      <alignment horizontal="center" vertical="center" wrapText="1"/>
    </xf>
    <xf numFmtId="168" fontId="6" fillId="0" borderId="65" xfId="0" applyNumberFormat="1" applyFont="1" applyFill="1" applyBorder="1" applyAlignment="1">
      <alignment horizontal="center" vertical="center" wrapText="1"/>
    </xf>
    <xf numFmtId="0" fontId="6" fillId="0" borderId="0" xfId="0" applyFont="1" applyFill="1" applyAlignment="1"/>
    <xf numFmtId="0" fontId="6" fillId="0" borderId="0" xfId="0" applyFont="1" applyFill="1" applyAlignment="1">
      <alignment horizontal="right" vertical="center"/>
    </xf>
    <xf numFmtId="165" fontId="6" fillId="0" borderId="0" xfId="0" applyNumberFormat="1" applyFont="1" applyFill="1" applyAlignment="1">
      <alignment vertical="center"/>
    </xf>
    <xf numFmtId="0" fontId="6" fillId="0" borderId="0" xfId="0" applyFont="1" applyFill="1" applyAlignment="1">
      <alignment horizontal="left"/>
    </xf>
    <xf numFmtId="0" fontId="6"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pplyAlignment="1">
      <alignment horizontal="center" vertical="center"/>
    </xf>
    <xf numFmtId="0" fontId="6" fillId="0" borderId="0" xfId="0" applyFont="1" applyFill="1" applyAlignment="1">
      <alignment horizontal="right"/>
    </xf>
    <xf numFmtId="2" fontId="6" fillId="0" borderId="0" xfId="0" applyNumberFormat="1" applyFont="1" applyFill="1" applyAlignment="1">
      <alignment horizontal="center" vertical="center"/>
    </xf>
    <xf numFmtId="2" fontId="6" fillId="0" borderId="0" xfId="0" applyNumberFormat="1" applyFont="1" applyFill="1" applyAlignment="1">
      <alignment vertical="center"/>
    </xf>
    <xf numFmtId="14" fontId="6" fillId="0" borderId="0" xfId="0" applyNumberFormat="1" applyFont="1" applyFill="1" applyAlignment="1"/>
    <xf numFmtId="9" fontId="6" fillId="0" borderId="0" xfId="0" applyNumberFormat="1" applyFont="1" applyFill="1" applyAlignment="1">
      <alignment horizontal="right"/>
    </xf>
    <xf numFmtId="0" fontId="7" fillId="0" borderId="0" xfId="0" applyFont="1" applyFill="1" applyAlignment="1">
      <alignment horizontal="right" vertical="center"/>
    </xf>
    <xf numFmtId="14" fontId="6" fillId="0" borderId="0" xfId="0" applyNumberFormat="1" applyFont="1" applyFill="1" applyAlignment="1">
      <alignment horizontal="left"/>
    </xf>
    <xf numFmtId="0" fontId="6" fillId="0" borderId="30" xfId="0" applyFont="1" applyFill="1" applyBorder="1" applyAlignment="1">
      <alignment horizontal="center" vertical="center" textRotation="90" wrapText="1"/>
    </xf>
    <xf numFmtId="0" fontId="6" fillId="0" borderId="31" xfId="0" applyFont="1" applyFill="1" applyBorder="1" applyAlignment="1">
      <alignment horizontal="center" vertical="center" textRotation="90" wrapText="1"/>
    </xf>
    <xf numFmtId="0" fontId="7" fillId="0" borderId="32" xfId="0" applyFont="1" applyFill="1" applyBorder="1" applyAlignment="1">
      <alignment horizontal="center" vertical="center" textRotation="90" wrapText="1"/>
    </xf>
    <xf numFmtId="169" fontId="6" fillId="0" borderId="28" xfId="0" applyNumberFormat="1" applyFont="1" applyFill="1" applyBorder="1" applyAlignment="1">
      <alignment horizontal="center" vertical="center" wrapText="1"/>
    </xf>
    <xf numFmtId="0" fontId="6" fillId="0" borderId="28" xfId="0" applyFont="1" applyFill="1" applyBorder="1" applyAlignment="1">
      <alignment vertical="center"/>
    </xf>
    <xf numFmtId="43" fontId="6" fillId="0" borderId="28" xfId="4" applyFont="1" applyFill="1" applyBorder="1" applyAlignment="1">
      <alignment horizontal="center" vertical="center"/>
    </xf>
    <xf numFmtId="43" fontId="6" fillId="0" borderId="28" xfId="4" applyFont="1" applyFill="1" applyBorder="1" applyAlignment="1">
      <alignment horizontal="center" vertical="center" wrapText="1"/>
    </xf>
    <xf numFmtId="168" fontId="7" fillId="0" borderId="28" xfId="0" applyNumberFormat="1" applyFont="1" applyFill="1" applyBorder="1" applyAlignment="1">
      <alignment horizontal="center" vertical="center"/>
    </xf>
    <xf numFmtId="0" fontId="4" fillId="0" borderId="28" xfId="0" applyFont="1" applyFill="1" applyBorder="1" applyAlignment="1">
      <alignment wrapText="1"/>
    </xf>
    <xf numFmtId="0" fontId="2" fillId="0" borderId="28" xfId="0" applyFont="1" applyFill="1" applyBorder="1" applyAlignment="1">
      <alignment wrapText="1"/>
    </xf>
    <xf numFmtId="2" fontId="4" fillId="0" borderId="28" xfId="0" applyNumberFormat="1" applyFont="1" applyFill="1" applyBorder="1" applyAlignment="1">
      <alignment horizontal="center" wrapText="1"/>
    </xf>
    <xf numFmtId="169" fontId="6" fillId="0" borderId="45" xfId="0" applyNumberFormat="1" applyFont="1" applyFill="1" applyBorder="1" applyAlignment="1">
      <alignment horizontal="center" vertical="center" wrapText="1"/>
    </xf>
    <xf numFmtId="0" fontId="3" fillId="0" borderId="28" xfId="0" applyFont="1" applyFill="1" applyBorder="1" applyAlignment="1">
      <alignment vertical="center" wrapText="1"/>
    </xf>
    <xf numFmtId="0" fontId="2" fillId="0" borderId="28" xfId="0" applyFont="1" applyFill="1" applyBorder="1" applyAlignment="1">
      <alignment vertical="center" wrapText="1"/>
    </xf>
    <xf numFmtId="0" fontId="37" fillId="0" borderId="28" xfId="0" applyFont="1" applyFill="1" applyBorder="1" applyAlignment="1">
      <alignment wrapText="1"/>
    </xf>
    <xf numFmtId="169" fontId="6" fillId="0" borderId="51" xfId="0" applyNumberFormat="1" applyFont="1" applyFill="1" applyBorder="1" applyAlignment="1">
      <alignment horizontal="center" vertical="center" wrapText="1"/>
    </xf>
    <xf numFmtId="2" fontId="6" fillId="0" borderId="65" xfId="0" applyNumberFormat="1" applyFont="1" applyFill="1" applyBorder="1" applyAlignment="1">
      <alignment horizontal="center" vertical="center" wrapText="1"/>
    </xf>
    <xf numFmtId="169" fontId="6" fillId="0" borderId="65" xfId="0" applyNumberFormat="1" applyFont="1" applyFill="1" applyBorder="1" applyAlignment="1">
      <alignment horizontal="center" vertical="center" wrapText="1"/>
    </xf>
    <xf numFmtId="167" fontId="6" fillId="0" borderId="28" xfId="0" applyNumberFormat="1" applyFont="1" applyFill="1" applyBorder="1" applyAlignment="1">
      <alignment horizontal="center" vertical="center" wrapText="1"/>
    </xf>
    <xf numFmtId="164" fontId="7" fillId="0" borderId="41" xfId="3" applyNumberFormat="1" applyFont="1" applyFill="1" applyBorder="1" applyAlignment="1">
      <alignment horizontal="center" vertical="center"/>
    </xf>
    <xf numFmtId="9" fontId="6" fillId="0" borderId="38" xfId="0" applyNumberFormat="1" applyFont="1" applyFill="1" applyBorder="1" applyAlignment="1"/>
    <xf numFmtId="9" fontId="6" fillId="0" borderId="0" xfId="0" applyNumberFormat="1" applyFont="1" applyFill="1" applyAlignment="1"/>
    <xf numFmtId="165" fontId="6" fillId="0" borderId="1" xfId="0" applyNumberFormat="1" applyFont="1" applyFill="1" applyBorder="1" applyAlignment="1"/>
    <xf numFmtId="9" fontId="6" fillId="0" borderId="0" xfId="0" applyNumberFormat="1" applyFont="1" applyFill="1"/>
    <xf numFmtId="0" fontId="7" fillId="0" borderId="0" xfId="0" applyFont="1" applyFill="1"/>
    <xf numFmtId="2" fontId="6" fillId="0" borderId="0" xfId="5" applyNumberFormat="1" applyFont="1" applyFill="1" applyAlignment="1">
      <alignment horizontal="center" vertical="center" wrapText="1"/>
    </xf>
    <xf numFmtId="2" fontId="6" fillId="0" borderId="0" xfId="0" applyNumberFormat="1" applyFont="1" applyFill="1" applyAlignment="1">
      <alignment horizontal="center" vertical="center" wrapText="1"/>
    </xf>
    <xf numFmtId="167" fontId="6" fillId="0" borderId="0" xfId="4" applyNumberFormat="1" applyFont="1" applyFill="1" applyAlignment="1">
      <alignment horizontal="center" vertical="center"/>
    </xf>
    <xf numFmtId="167" fontId="6" fillId="0" borderId="0" xfId="4" applyNumberFormat="1" applyFont="1" applyFill="1" applyAlignment="1">
      <alignment horizontal="center" vertical="center" wrapText="1"/>
    </xf>
    <xf numFmtId="0" fontId="6" fillId="0" borderId="0" xfId="0" applyFont="1" applyFill="1" applyAlignment="1">
      <alignment horizontal="center" vertical="center" wrapText="1"/>
    </xf>
    <xf numFmtId="14" fontId="6" fillId="0" borderId="0" xfId="0" applyNumberFormat="1" applyFont="1" applyFill="1" applyAlignment="1">
      <alignment horizontal="right"/>
    </xf>
    <xf numFmtId="164" fontId="7" fillId="0" borderId="49" xfId="3" applyNumberFormat="1" applyFont="1" applyFill="1" applyBorder="1" applyAlignment="1">
      <alignment horizontal="center" vertical="center"/>
    </xf>
    <xf numFmtId="164" fontId="7" fillId="0" borderId="50" xfId="3" applyNumberFormat="1" applyFont="1" applyFill="1" applyBorder="1" applyAlignment="1">
      <alignment horizontal="center" vertical="center"/>
    </xf>
    <xf numFmtId="164" fontId="7" fillId="0" borderId="10" xfId="3" applyNumberFormat="1" applyFont="1" applyFill="1" applyBorder="1" applyAlignment="1">
      <alignment horizontal="center" vertical="center"/>
    </xf>
    <xf numFmtId="164" fontId="7" fillId="0" borderId="13" xfId="3" applyNumberFormat="1" applyFont="1" applyFill="1" applyBorder="1" applyAlignment="1">
      <alignment horizontal="center" vertical="center"/>
    </xf>
    <xf numFmtId="164" fontId="7" fillId="0" borderId="14" xfId="3" applyNumberFormat="1" applyFont="1" applyFill="1" applyBorder="1" applyAlignment="1">
      <alignment horizontal="center" vertical="center"/>
    </xf>
    <xf numFmtId="0" fontId="6" fillId="0" borderId="60" xfId="0" applyFont="1" applyFill="1" applyBorder="1" applyAlignment="1">
      <alignment horizontal="center" vertical="center" wrapText="1"/>
    </xf>
    <xf numFmtId="49" fontId="6" fillId="0" borderId="45" xfId="5" applyNumberFormat="1" applyFont="1" applyFill="1" applyBorder="1" applyAlignment="1">
      <alignment horizontal="center" vertical="center" wrapText="1"/>
    </xf>
    <xf numFmtId="0" fontId="7" fillId="0" borderId="63" xfId="0" applyFont="1" applyFill="1" applyBorder="1" applyAlignment="1">
      <alignment horizontal="left" vertical="center" wrapText="1"/>
    </xf>
    <xf numFmtId="0" fontId="6" fillId="0" borderId="60" xfId="13" applyFont="1" applyFill="1" applyBorder="1" applyAlignment="1">
      <alignment horizontal="center" vertical="center"/>
    </xf>
    <xf numFmtId="0" fontId="6" fillId="0" borderId="54" xfId="0" applyFont="1" applyFill="1" applyBorder="1" applyAlignment="1">
      <alignment horizontal="center" vertical="center" textRotation="90" wrapText="1"/>
    </xf>
    <xf numFmtId="0" fontId="6" fillId="0" borderId="59" xfId="0" applyFont="1" applyFill="1" applyBorder="1" applyAlignment="1">
      <alignment horizontal="center" vertical="center" textRotation="90" wrapText="1"/>
    </xf>
    <xf numFmtId="0" fontId="7" fillId="0" borderId="55" xfId="0" applyFont="1" applyFill="1" applyBorder="1" applyAlignment="1">
      <alignment horizontal="center" vertical="center" textRotation="90" wrapText="1"/>
    </xf>
    <xf numFmtId="0" fontId="6" fillId="0" borderId="58" xfId="0" applyFont="1" applyFill="1" applyBorder="1" applyAlignment="1">
      <alignment horizontal="center" wrapText="1"/>
    </xf>
    <xf numFmtId="0" fontId="19" fillId="0" borderId="58" xfId="0" applyFont="1" applyFill="1" applyBorder="1" applyAlignment="1">
      <alignment horizontal="center" wrapText="1"/>
    </xf>
    <xf numFmtId="171" fontId="6" fillId="0" borderId="58" xfId="10" applyNumberFormat="1" applyFont="1" applyFill="1" applyBorder="1" applyAlignment="1">
      <alignment horizontal="center" vertical="center" wrapText="1"/>
    </xf>
    <xf numFmtId="43" fontId="6" fillId="0" borderId="58" xfId="0" applyNumberFormat="1" applyFont="1" applyFill="1" applyBorder="1" applyAlignment="1">
      <alignment horizontal="center" vertical="center" wrapText="1"/>
    </xf>
    <xf numFmtId="0" fontId="7" fillId="0" borderId="58" xfId="0" applyFont="1" applyFill="1" applyBorder="1" applyAlignment="1">
      <alignment horizontal="center" wrapText="1"/>
    </xf>
    <xf numFmtId="0" fontId="7" fillId="0" borderId="58" xfId="0" applyFont="1" applyFill="1" applyBorder="1" applyAlignment="1">
      <alignment wrapText="1"/>
    </xf>
    <xf numFmtId="0" fontId="6" fillId="0" borderId="58" xfId="0" applyFont="1" applyFill="1" applyBorder="1" applyAlignment="1">
      <alignment wrapText="1"/>
    </xf>
    <xf numFmtId="168" fontId="6" fillId="0" borderId="58" xfId="0" applyNumberFormat="1" applyFont="1" applyFill="1" applyBorder="1" applyAlignment="1">
      <alignment horizontal="center" wrapText="1"/>
    </xf>
    <xf numFmtId="0" fontId="6" fillId="0" borderId="22" xfId="0" applyFont="1" applyFill="1" applyBorder="1" applyAlignment="1">
      <alignment horizontal="center"/>
    </xf>
    <xf numFmtId="0" fontId="6" fillId="0" borderId="0" xfId="0" applyFont="1" applyFill="1" applyAlignment="1">
      <alignment horizontal="center"/>
    </xf>
    <xf numFmtId="0" fontId="7" fillId="0" borderId="0" xfId="0" applyFont="1" applyFill="1" applyBorder="1" applyAlignment="1">
      <alignment horizontal="center" wrapText="1"/>
    </xf>
    <xf numFmtId="171" fontId="6" fillId="0" borderId="65" xfId="10" applyNumberFormat="1" applyFont="1" applyFill="1" applyBorder="1" applyAlignment="1">
      <alignment horizontal="center" vertical="center" wrapText="1"/>
    </xf>
    <xf numFmtId="43" fontId="6" fillId="0" borderId="65" xfId="0" applyNumberFormat="1" applyFont="1" applyFill="1" applyBorder="1" applyAlignment="1">
      <alignment horizontal="center" vertical="center" wrapText="1"/>
    </xf>
    <xf numFmtId="2" fontId="6" fillId="0" borderId="65" xfId="12" applyNumberFormat="1" applyFont="1" applyFill="1" applyBorder="1" applyAlignment="1">
      <alignment horizontal="center" vertical="center" wrapText="1"/>
    </xf>
    <xf numFmtId="167" fontId="6" fillId="0" borderId="57" xfId="7" applyNumberFormat="1" applyFont="1" applyFill="1" applyBorder="1" applyAlignment="1">
      <alignment horizontal="center" vertical="center"/>
    </xf>
    <xf numFmtId="167" fontId="6" fillId="0" borderId="57" xfId="7" applyNumberFormat="1" applyFont="1" applyFill="1" applyBorder="1" applyAlignment="1">
      <alignment horizontal="center" vertical="center" wrapText="1"/>
    </xf>
    <xf numFmtId="1" fontId="6" fillId="0" borderId="28" xfId="0" applyNumberFormat="1" applyFont="1" applyFill="1" applyBorder="1" applyAlignment="1">
      <alignment horizontal="center" vertical="center"/>
    </xf>
    <xf numFmtId="0" fontId="6" fillId="0" borderId="28" xfId="0" applyFont="1" applyFill="1" applyBorder="1" applyAlignment="1">
      <alignment horizontal="left" wrapText="1"/>
    </xf>
    <xf numFmtId="167" fontId="6" fillId="0" borderId="28" xfId="7" applyNumberFormat="1" applyFont="1" applyFill="1" applyBorder="1" applyAlignment="1">
      <alignment horizontal="center" vertical="center"/>
    </xf>
    <xf numFmtId="167" fontId="6" fillId="0" borderId="28" xfId="7" applyNumberFormat="1" applyFont="1" applyFill="1" applyBorder="1" applyAlignment="1">
      <alignment horizontal="center" vertical="center" wrapText="1"/>
    </xf>
    <xf numFmtId="168" fontId="7" fillId="0" borderId="0" xfId="0" applyNumberFormat="1" applyFont="1" applyFill="1" applyAlignment="1">
      <alignment horizontal="center" vertical="center"/>
    </xf>
    <xf numFmtId="43" fontId="6" fillId="0" borderId="28" xfId="0" applyNumberFormat="1" applyFont="1" applyFill="1" applyBorder="1" applyAlignment="1">
      <alignment horizontal="center" vertical="center" wrapText="1"/>
    </xf>
    <xf numFmtId="0" fontId="6" fillId="0" borderId="28" xfId="0" applyFont="1" applyFill="1" applyBorder="1" applyAlignment="1">
      <alignment wrapText="1"/>
    </xf>
    <xf numFmtId="0" fontId="7" fillId="0" borderId="28" xfId="0" applyFont="1" applyFill="1" applyBorder="1" applyAlignment="1">
      <alignment horizontal="center" wrapText="1"/>
    </xf>
    <xf numFmtId="0" fontId="6" fillId="0" borderId="28" xfId="0" applyFont="1" applyFill="1" applyBorder="1" applyAlignment="1">
      <alignment horizontal="center"/>
    </xf>
    <xf numFmtId="0" fontId="6" fillId="0" borderId="65" xfId="0" applyFont="1" applyFill="1" applyBorder="1" applyAlignment="1">
      <alignment wrapText="1"/>
    </xf>
    <xf numFmtId="0" fontId="28" fillId="0" borderId="65" xfId="0" applyFont="1" applyFill="1" applyBorder="1" applyAlignment="1">
      <alignment horizontal="center" wrapText="1"/>
    </xf>
    <xf numFmtId="0" fontId="28" fillId="0" borderId="28" xfId="0" applyFont="1" applyFill="1" applyBorder="1" applyAlignment="1">
      <alignment horizontal="center" wrapText="1"/>
    </xf>
    <xf numFmtId="0" fontId="6" fillId="0" borderId="68" xfId="0" applyFont="1" applyFill="1" applyBorder="1" applyAlignment="1">
      <alignment horizontal="center" vertical="center" textRotation="90" wrapText="1"/>
    </xf>
    <xf numFmtId="0" fontId="6" fillId="0" borderId="65" xfId="0" applyFont="1" applyFill="1" applyBorder="1" applyAlignment="1">
      <alignment horizontal="center" vertical="center" textRotation="90" wrapText="1"/>
    </xf>
    <xf numFmtId="0" fontId="7" fillId="0" borderId="69" xfId="0" applyFont="1" applyFill="1" applyBorder="1" applyAlignment="1">
      <alignment horizontal="center" vertical="center" textRotation="90" wrapText="1"/>
    </xf>
    <xf numFmtId="0" fontId="6" fillId="0" borderId="28" xfId="0" applyFont="1" applyFill="1" applyBorder="1"/>
    <xf numFmtId="0" fontId="7" fillId="0" borderId="28" xfId="0" applyFont="1" applyFill="1" applyBorder="1" applyAlignment="1">
      <alignment vertical="center" wrapText="1"/>
    </xf>
    <xf numFmtId="168" fontId="4" fillId="0" borderId="28" xfId="0" applyNumberFormat="1" applyFont="1" applyFill="1" applyBorder="1" applyAlignment="1">
      <alignment horizontal="left" wrapText="1"/>
    </xf>
    <xf numFmtId="0" fontId="28" fillId="0" borderId="28" xfId="0" applyFont="1" applyFill="1" applyBorder="1" applyAlignment="1">
      <alignment vertical="center" wrapText="1"/>
    </xf>
    <xf numFmtId="2" fontId="7" fillId="0" borderId="28" xfId="0" applyNumberFormat="1" applyFont="1" applyFill="1" applyBorder="1"/>
    <xf numFmtId="2" fontId="6" fillId="0" borderId="28" xfId="0" applyNumberFormat="1" applyFont="1" applyFill="1" applyBorder="1"/>
    <xf numFmtId="2" fontId="32" fillId="0" borderId="28" xfId="0" applyNumberFormat="1" applyFont="1" applyFill="1" applyBorder="1" applyAlignment="1">
      <alignment horizontal="center"/>
    </xf>
    <xf numFmtId="164" fontId="7" fillId="0" borderId="28" xfId="3" applyNumberFormat="1" applyFont="1" applyFill="1" applyBorder="1" applyAlignment="1">
      <alignment horizontal="center" vertical="center"/>
    </xf>
    <xf numFmtId="0" fontId="6" fillId="0" borderId="53" xfId="0" applyFont="1" applyFill="1" applyBorder="1" applyAlignment="1">
      <alignment horizontal="center" vertical="center" textRotation="90" wrapText="1"/>
    </xf>
    <xf numFmtId="0" fontId="24" fillId="0" borderId="28" xfId="0" applyFont="1" applyFill="1" applyBorder="1" applyAlignment="1">
      <alignment horizontal="center" vertical="center" wrapText="1"/>
    </xf>
    <xf numFmtId="0" fontId="6" fillId="0" borderId="15" xfId="0" applyFont="1" applyBorder="1" applyAlignment="1">
      <alignment horizontal="center" wrapText="1"/>
    </xf>
    <xf numFmtId="0" fontId="6" fillId="0" borderId="0" xfId="0" applyFont="1" applyAlignment="1">
      <alignment horizontal="center"/>
    </xf>
    <xf numFmtId="0" fontId="6" fillId="0" borderId="0" xfId="0" applyFont="1" applyAlignment="1">
      <alignment horizontal="right"/>
    </xf>
    <xf numFmtId="0" fontId="6" fillId="0" borderId="10" xfId="0" applyFont="1" applyBorder="1" applyAlignment="1">
      <alignment horizontal="left"/>
    </xf>
    <xf numFmtId="0" fontId="6" fillId="0" borderId="13" xfId="0" applyFont="1" applyBorder="1" applyAlignment="1">
      <alignment horizontal="left"/>
    </xf>
    <xf numFmtId="0" fontId="6" fillId="0" borderId="1" xfId="0" applyFont="1" applyBorder="1" applyAlignment="1">
      <alignment horizontal="left" wrapText="1"/>
    </xf>
    <xf numFmtId="0" fontId="7" fillId="0" borderId="35" xfId="0" applyFont="1" applyBorder="1" applyAlignment="1">
      <alignment horizontal="right"/>
    </xf>
    <xf numFmtId="0" fontId="7" fillId="0" borderId="36" xfId="0" applyFont="1" applyBorder="1" applyAlignment="1">
      <alignment horizontal="right"/>
    </xf>
    <xf numFmtId="0" fontId="7" fillId="0" borderId="56" xfId="0" applyFont="1" applyBorder="1" applyAlignment="1">
      <alignment horizontal="right"/>
    </xf>
    <xf numFmtId="0" fontId="7" fillId="0" borderId="2" xfId="0" applyFont="1" applyBorder="1" applyAlignment="1">
      <alignment horizontal="right"/>
    </xf>
    <xf numFmtId="0" fontId="7" fillId="0" borderId="20" xfId="0" applyFont="1" applyBorder="1" applyAlignment="1">
      <alignment horizontal="right"/>
    </xf>
    <xf numFmtId="0" fontId="7" fillId="0" borderId="21" xfId="0" applyFont="1" applyBorder="1" applyAlignment="1">
      <alignment horizontal="right"/>
    </xf>
    <xf numFmtId="0" fontId="6" fillId="0" borderId="5" xfId="0" applyFont="1" applyBorder="1" applyAlignment="1">
      <alignment horizontal="right"/>
    </xf>
    <xf numFmtId="0" fontId="6" fillId="0" borderId="28" xfId="0" applyFont="1" applyBorder="1" applyAlignment="1">
      <alignment horizontal="right"/>
    </xf>
    <xf numFmtId="0" fontId="6" fillId="0" borderId="29" xfId="0" applyFont="1" applyBorder="1" applyAlignment="1">
      <alignment horizontal="right"/>
    </xf>
    <xf numFmtId="0" fontId="7" fillId="0" borderId="5" xfId="0" applyFont="1" applyBorder="1" applyAlignment="1">
      <alignment horizontal="right"/>
    </xf>
    <xf numFmtId="0" fontId="7" fillId="0" borderId="28" xfId="0" applyFont="1" applyBorder="1" applyAlignment="1">
      <alignment horizontal="right"/>
    </xf>
    <xf numFmtId="0" fontId="7" fillId="0" borderId="29" xfId="0" applyFont="1" applyBorder="1" applyAlignment="1">
      <alignment horizontal="right"/>
    </xf>
    <xf numFmtId="0" fontId="7" fillId="0" borderId="30" xfId="0" applyFont="1" applyBorder="1" applyAlignment="1">
      <alignment horizontal="right"/>
    </xf>
    <xf numFmtId="0" fontId="7" fillId="0" borderId="31" xfId="0" applyFont="1" applyBorder="1" applyAlignment="1">
      <alignment horizontal="right"/>
    </xf>
    <xf numFmtId="0" fontId="7" fillId="0" borderId="32" xfId="0" applyFont="1" applyBorder="1" applyAlignment="1">
      <alignment horizontal="right"/>
    </xf>
    <xf numFmtId="164" fontId="6" fillId="0" borderId="28" xfId="0" applyNumberFormat="1" applyFont="1" applyBorder="1" applyAlignment="1">
      <alignment horizontal="left" vertical="top" wrapText="1"/>
    </xf>
    <xf numFmtId="164" fontId="6" fillId="0" borderId="29" xfId="0" applyNumberFormat="1" applyFont="1" applyBorder="1" applyAlignment="1">
      <alignment horizontal="left" vertical="top"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4" xfId="0" applyFont="1" applyBorder="1" applyAlignment="1">
      <alignment horizontal="center" vertical="center" wrapText="1"/>
    </xf>
    <xf numFmtId="0" fontId="6" fillId="0" borderId="9" xfId="0" applyFont="1" applyBorder="1" applyAlignment="1">
      <alignment horizontal="center" vertical="center" wrapText="1"/>
    </xf>
    <xf numFmtId="164" fontId="6" fillId="0" borderId="20" xfId="0" applyNumberFormat="1" applyFont="1" applyBorder="1" applyAlignment="1">
      <alignment horizontal="left" vertical="top" wrapText="1"/>
    </xf>
    <xf numFmtId="164" fontId="6" fillId="0" borderId="21" xfId="0" applyNumberFormat="1" applyFont="1" applyBorder="1" applyAlignment="1">
      <alignment horizontal="left" vertical="top" wrapText="1"/>
    </xf>
    <xf numFmtId="0" fontId="6" fillId="0" borderId="21" xfId="0" applyFont="1" applyBorder="1" applyAlignment="1">
      <alignment horizontal="center" vertical="center" wrapText="1"/>
    </xf>
    <xf numFmtId="0" fontId="6" fillId="0" borderId="27" xfId="0" applyFont="1" applyBorder="1" applyAlignment="1">
      <alignment horizontal="center" vertical="center" wrapText="1"/>
    </xf>
    <xf numFmtId="0" fontId="7" fillId="0" borderId="0" xfId="0" applyFont="1" applyAlignment="1">
      <alignment horizontal="right"/>
    </xf>
    <xf numFmtId="164" fontId="7" fillId="0" borderId="39" xfId="0" applyNumberFormat="1" applyFont="1" applyBorder="1" applyAlignment="1">
      <alignment horizontal="left"/>
    </xf>
    <xf numFmtId="164" fontId="6" fillId="0" borderId="37" xfId="0" applyNumberFormat="1" applyFont="1" applyBorder="1" applyAlignment="1">
      <alignment horizontal="center"/>
    </xf>
    <xf numFmtId="0" fontId="6" fillId="0" borderId="2" xfId="0" applyFont="1" applyBorder="1" applyAlignment="1">
      <alignment horizontal="center" vertical="center" textRotation="90" wrapText="1"/>
    </xf>
    <xf numFmtId="0" fontId="6" fillId="0" borderId="8" xfId="0" applyFont="1" applyBorder="1" applyAlignment="1">
      <alignment horizontal="center" vertical="center" textRotation="90" wrapText="1"/>
    </xf>
    <xf numFmtId="0" fontId="6" fillId="0" borderId="16" xfId="0" applyFont="1" applyBorder="1" applyAlignment="1">
      <alignment horizontal="center" vertical="center" wrapText="1"/>
    </xf>
    <xf numFmtId="0" fontId="6" fillId="0" borderId="22" xfId="0" applyFont="1" applyBorder="1" applyAlignment="1">
      <alignment horizontal="center" vertical="center" wrapText="1"/>
    </xf>
    <xf numFmtId="0" fontId="7" fillId="0" borderId="0" xfId="0" applyFont="1" applyAlignment="1">
      <alignment horizontal="right" vertical="justify"/>
    </xf>
    <xf numFmtId="0" fontId="7" fillId="0" borderId="0" xfId="0" applyFont="1" applyAlignment="1">
      <alignment horizontal="center"/>
    </xf>
    <xf numFmtId="0" fontId="6" fillId="0" borderId="15" xfId="0" applyFont="1" applyBorder="1" applyAlignment="1">
      <alignment horizontal="center" vertical="top"/>
    </xf>
    <xf numFmtId="164" fontId="7" fillId="0" borderId="37" xfId="0" applyNumberFormat="1" applyFont="1" applyBorder="1" applyAlignment="1">
      <alignment horizontal="left"/>
    </xf>
    <xf numFmtId="0" fontId="6" fillId="0" borderId="0" xfId="0" applyFont="1" applyAlignment="1">
      <alignment horizontal="center" vertical="justify"/>
    </xf>
    <xf numFmtId="0" fontId="7" fillId="0" borderId="1" xfId="0" applyFont="1" applyFill="1" applyBorder="1" applyAlignment="1">
      <alignment horizontal="center" vertical="center"/>
    </xf>
    <xf numFmtId="0" fontId="6" fillId="0" borderId="15" xfId="0" applyFont="1" applyFill="1" applyBorder="1" applyAlignment="1">
      <alignment horizontal="center" vertical="top"/>
    </xf>
    <xf numFmtId="0" fontId="6" fillId="0" borderId="0" xfId="0" applyFont="1" applyFill="1" applyAlignment="1">
      <alignment horizontal="center" vertical="center"/>
    </xf>
    <xf numFmtId="0" fontId="6" fillId="0" borderId="0" xfId="0" applyFont="1" applyFill="1" applyAlignment="1">
      <alignment horizontal="center" vertical="center" wrapText="1"/>
    </xf>
    <xf numFmtId="0" fontId="6" fillId="0" borderId="2" xfId="0" applyFont="1" applyFill="1" applyBorder="1" applyAlignment="1">
      <alignment horizontal="center" vertical="center"/>
    </xf>
    <xf numFmtId="0" fontId="6" fillId="0" borderId="20" xfId="0" applyFont="1" applyFill="1" applyBorder="1" applyAlignment="1">
      <alignment horizontal="center" vertical="center"/>
    </xf>
    <xf numFmtId="0" fontId="6" fillId="0" borderId="21" xfId="0" applyFont="1" applyFill="1" applyBorder="1" applyAlignment="1">
      <alignment horizontal="center" vertical="center"/>
    </xf>
    <xf numFmtId="2" fontId="6" fillId="0" borderId="0" xfId="0" applyNumberFormat="1" applyFont="1" applyFill="1" applyAlignment="1">
      <alignment horizontal="right" vertical="center"/>
    </xf>
    <xf numFmtId="0" fontId="6" fillId="0" borderId="2" xfId="0" applyFont="1" applyFill="1" applyBorder="1" applyAlignment="1">
      <alignment horizontal="center" vertical="center" textRotation="90" wrapText="1"/>
    </xf>
    <xf numFmtId="0" fontId="6" fillId="0" borderId="30" xfId="0" applyFont="1" applyFill="1" applyBorder="1" applyAlignment="1">
      <alignment horizontal="center" vertical="center" textRotation="90" wrapText="1"/>
    </xf>
    <xf numFmtId="0" fontId="6" fillId="0" borderId="20" xfId="0" applyFont="1" applyFill="1" applyBorder="1" applyAlignment="1">
      <alignment horizontal="center" vertical="center" textRotation="90" wrapText="1"/>
    </xf>
    <xf numFmtId="0" fontId="6" fillId="0" borderId="31" xfId="0" applyFont="1" applyFill="1" applyBorder="1" applyAlignment="1">
      <alignment horizontal="center" vertical="center" textRotation="90" wrapText="1"/>
    </xf>
    <xf numFmtId="0" fontId="6" fillId="0" borderId="31" xfId="0" applyFont="1" applyFill="1" applyBorder="1" applyAlignment="1">
      <alignment horizontal="center" vertical="center"/>
    </xf>
    <xf numFmtId="0" fontId="6" fillId="0" borderId="20" xfId="0" applyFont="1" applyFill="1" applyBorder="1" applyAlignment="1">
      <alignment horizontal="center" vertical="center" textRotation="90"/>
    </xf>
    <xf numFmtId="0" fontId="6" fillId="0" borderId="31" xfId="0" applyFont="1" applyFill="1" applyBorder="1" applyAlignment="1">
      <alignment horizontal="center" vertical="center" textRotation="90"/>
    </xf>
    <xf numFmtId="164" fontId="6" fillId="0" borderId="0" xfId="0" applyNumberFormat="1" applyFont="1" applyFill="1" applyAlignment="1">
      <alignment horizontal="center" vertical="center"/>
    </xf>
    <xf numFmtId="165" fontId="6" fillId="0" borderId="37" xfId="0" applyNumberFormat="1" applyFont="1" applyFill="1" applyBorder="1" applyAlignment="1">
      <alignment horizontal="left" wrapText="1"/>
    </xf>
    <xf numFmtId="0" fontId="6" fillId="0" borderId="21" xfId="0" applyFont="1" applyFill="1" applyBorder="1" applyAlignment="1">
      <alignment horizontal="center" vertical="center" textRotation="90" wrapText="1"/>
    </xf>
    <xf numFmtId="0" fontId="6" fillId="0" borderId="32" xfId="0" applyFont="1" applyFill="1" applyBorder="1" applyAlignment="1">
      <alignment horizontal="center" vertical="center" textRotation="90" wrapText="1"/>
    </xf>
    <xf numFmtId="0" fontId="7" fillId="0" borderId="0" xfId="0" applyFont="1" applyFill="1" applyAlignment="1">
      <alignment horizontal="left" wrapText="1"/>
    </xf>
    <xf numFmtId="165" fontId="6" fillId="0" borderId="1" xfId="0" applyNumberFormat="1" applyFont="1" applyFill="1" applyBorder="1" applyAlignment="1">
      <alignment wrapText="1"/>
    </xf>
    <xf numFmtId="0" fontId="6" fillId="0" borderId="15" xfId="0" applyFont="1" applyFill="1" applyBorder="1" applyAlignment="1">
      <alignment horizontal="center" wrapText="1"/>
    </xf>
    <xf numFmtId="0" fontId="7" fillId="0" borderId="41" xfId="3" applyFont="1" applyFill="1" applyBorder="1" applyAlignment="1">
      <alignment horizontal="right" wrapText="1"/>
    </xf>
    <xf numFmtId="0" fontId="7" fillId="0" borderId="49" xfId="3" applyFont="1" applyFill="1" applyBorder="1" applyAlignment="1">
      <alignment horizontal="right" wrapText="1"/>
    </xf>
    <xf numFmtId="0" fontId="7" fillId="0" borderId="50" xfId="3" applyFont="1" applyFill="1" applyBorder="1" applyAlignment="1">
      <alignment horizontal="right" wrapText="1"/>
    </xf>
    <xf numFmtId="0" fontId="39" fillId="0" borderId="0" xfId="17" applyFont="1" applyFill="1" applyAlignment="1">
      <alignment horizontal="center" vertical="center" wrapText="1"/>
    </xf>
    <xf numFmtId="0" fontId="15" fillId="0" borderId="5" xfId="0" applyFont="1" applyBorder="1" applyAlignment="1">
      <alignment horizontal="right" vertical="center"/>
    </xf>
    <xf numFmtId="0" fontId="15" fillId="0" borderId="28" xfId="0" applyFont="1" applyBorder="1" applyAlignment="1">
      <alignment horizontal="center" vertical="center"/>
    </xf>
    <xf numFmtId="0" fontId="15" fillId="0" borderId="28" xfId="0" applyFont="1" applyBorder="1" applyAlignment="1">
      <alignment horizontal="center" vertical="center" wrapText="1"/>
    </xf>
    <xf numFmtId="0" fontId="15" fillId="0" borderId="29" xfId="0" applyFont="1" applyBorder="1" applyAlignment="1">
      <alignment horizontal="center" vertical="center" wrapText="1"/>
    </xf>
    <xf numFmtId="0" fontId="15" fillId="0" borderId="20" xfId="0" applyFont="1" applyBorder="1" applyAlignment="1">
      <alignment horizontal="center" vertical="center"/>
    </xf>
    <xf numFmtId="0" fontId="16" fillId="0" borderId="21" xfId="0" applyFont="1" applyBorder="1" applyAlignment="1">
      <alignment horizontal="center" vertical="center"/>
    </xf>
    <xf numFmtId="0" fontId="7" fillId="0" borderId="10" xfId="3" applyFont="1" applyFill="1" applyBorder="1" applyAlignment="1">
      <alignment horizontal="right" wrapText="1"/>
    </xf>
    <xf numFmtId="0" fontId="7" fillId="0" borderId="13" xfId="3" applyFont="1" applyFill="1" applyBorder="1" applyAlignment="1">
      <alignment horizontal="right" wrapText="1"/>
    </xf>
    <xf numFmtId="0" fontId="7" fillId="0" borderId="14" xfId="3" applyFont="1" applyFill="1" applyBorder="1" applyAlignment="1">
      <alignment horizontal="right" wrapText="1"/>
    </xf>
    <xf numFmtId="0" fontId="6" fillId="0" borderId="54" xfId="0" applyFont="1" applyFill="1" applyBorder="1" applyAlignment="1">
      <alignment horizontal="center" vertical="center" textRotation="90" wrapText="1"/>
    </xf>
    <xf numFmtId="0" fontId="6" fillId="0" borderId="59" xfId="0" applyFont="1" applyFill="1" applyBorder="1" applyAlignment="1">
      <alignment horizontal="center" vertical="center" textRotation="90" wrapText="1"/>
    </xf>
    <xf numFmtId="0" fontId="6" fillId="0" borderId="59" xfId="0" applyFont="1" applyFill="1" applyBorder="1" applyAlignment="1">
      <alignment horizontal="center" vertical="center"/>
    </xf>
    <xf numFmtId="0" fontId="6" fillId="0" borderId="59" xfId="0" applyFont="1" applyFill="1" applyBorder="1" applyAlignment="1">
      <alignment horizontal="center" vertical="center" textRotation="90"/>
    </xf>
    <xf numFmtId="0" fontId="6" fillId="0" borderId="55" xfId="0" applyFont="1" applyFill="1" applyBorder="1" applyAlignment="1">
      <alignment horizontal="center" vertical="center" textRotation="90" wrapText="1"/>
    </xf>
    <xf numFmtId="0" fontId="6" fillId="0" borderId="68" xfId="0" applyFont="1" applyFill="1" applyBorder="1" applyAlignment="1">
      <alignment horizontal="center" vertical="center" textRotation="90" wrapText="1"/>
    </xf>
    <xf numFmtId="0" fontId="6" fillId="0" borderId="65" xfId="0" applyFont="1" applyFill="1" applyBorder="1" applyAlignment="1">
      <alignment horizontal="center" vertical="center" textRotation="90" wrapText="1"/>
    </xf>
    <xf numFmtId="0" fontId="6" fillId="0" borderId="65" xfId="0" applyFont="1" applyFill="1" applyBorder="1" applyAlignment="1">
      <alignment horizontal="center" vertical="center"/>
    </xf>
    <xf numFmtId="0" fontId="6" fillId="0" borderId="65" xfId="0" applyFont="1" applyFill="1" applyBorder="1" applyAlignment="1">
      <alignment horizontal="center" vertical="center" textRotation="90"/>
    </xf>
    <xf numFmtId="0" fontId="6" fillId="0" borderId="69" xfId="0" applyFont="1" applyFill="1" applyBorder="1" applyAlignment="1">
      <alignment horizontal="center" vertical="center" textRotation="90" wrapText="1"/>
    </xf>
    <xf numFmtId="0" fontId="7" fillId="0" borderId="28" xfId="3" applyFont="1" applyFill="1" applyBorder="1" applyAlignment="1">
      <alignment horizontal="right" wrapText="1"/>
    </xf>
    <xf numFmtId="0" fontId="6" fillId="0" borderId="53" xfId="0" applyFont="1" applyFill="1" applyBorder="1" applyAlignment="1">
      <alignment horizontal="center" vertical="center" textRotation="90" wrapText="1"/>
    </xf>
    <xf numFmtId="0" fontId="6" fillId="0" borderId="53" xfId="0" applyFont="1" applyFill="1" applyBorder="1" applyAlignment="1">
      <alignment horizontal="center" vertical="center"/>
    </xf>
    <xf numFmtId="0" fontId="6" fillId="0" borderId="53" xfId="0" applyFont="1" applyFill="1" applyBorder="1" applyAlignment="1">
      <alignment horizontal="center" vertical="center" textRotation="90"/>
    </xf>
    <xf numFmtId="0" fontId="7" fillId="0" borderId="35" xfId="3" applyFont="1" applyFill="1" applyBorder="1" applyAlignment="1">
      <alignment horizontal="right" wrapText="1"/>
    </xf>
    <xf numFmtId="0" fontId="7" fillId="0" borderId="36" xfId="3" applyFont="1" applyFill="1" applyBorder="1" applyAlignment="1">
      <alignment horizontal="right" wrapText="1"/>
    </xf>
    <xf numFmtId="0" fontId="7" fillId="0" borderId="56" xfId="3" applyFont="1" applyFill="1" applyBorder="1" applyAlignment="1">
      <alignment horizontal="right" wrapText="1"/>
    </xf>
    <xf numFmtId="0" fontId="1" fillId="0" borderId="28" xfId="0" applyFont="1" applyFill="1" applyBorder="1" applyAlignment="1">
      <alignment wrapText="1"/>
    </xf>
  </cellXfs>
  <cellStyles count="18">
    <cellStyle name="Comma 2" xfId="7" xr:uid="{00000000-0005-0000-0000-000001000000}"/>
    <cellStyle name="Excel Built-in Explanatory Text" xfId="8" xr:uid="{00000000-0005-0000-0000-000002000000}"/>
    <cellStyle name="Excel Built-in Normal 2" xfId="17" xr:uid="{00000000-0005-0000-0000-000003000000}"/>
    <cellStyle name="Excel_BuiltIn_Explanatory Text" xfId="6" xr:uid="{00000000-0005-0000-0000-000004000000}"/>
    <cellStyle name="Komats" xfId="4" builtinId="3"/>
    <cellStyle name="Normal 2" xfId="2" xr:uid="{00000000-0005-0000-0000-000006000000}"/>
    <cellStyle name="Normal 2 4" xfId="9" xr:uid="{00000000-0005-0000-0000-000007000000}"/>
    <cellStyle name="Normal 3" xfId="10" xr:uid="{00000000-0005-0000-0000-000008000000}"/>
    <cellStyle name="Normal_DA" xfId="13" xr:uid="{00000000-0005-0000-0000-000009000000}"/>
    <cellStyle name="Parasts" xfId="0" builtinId="0"/>
    <cellStyle name="Parasts 3" xfId="11" xr:uid="{00000000-0005-0000-0000-00000A000000}"/>
    <cellStyle name="Style 1" xfId="5" xr:uid="{00000000-0005-0000-0000-00000B000000}"/>
    <cellStyle name="Style 1 2" xfId="15" xr:uid="{00000000-0005-0000-0000-00000C000000}"/>
    <cellStyle name="Обычный_33. OZOLNIEKU NOVADA DOME_OZO SKOLA_TELPU, GAITENU, KAPNU TELPU REMONTS_TAME_VADIMS_2011_02_25_melnraksts" xfId="1" xr:uid="{00000000-0005-0000-0000-00000D000000}"/>
    <cellStyle name="Обычный_saulkrasti_tame" xfId="3" xr:uid="{00000000-0005-0000-0000-00000E000000}"/>
    <cellStyle name="Стиль 1" xfId="12" xr:uid="{00000000-0005-0000-0000-00000F000000}"/>
    <cellStyle name="Стиль 1 2" xfId="16" xr:uid="{00000000-0005-0000-0000-000010000000}"/>
    <cellStyle name="Стиль 1 3" xfId="14" xr:uid="{00000000-0005-0000-0000-000011000000}"/>
  </cellStyles>
  <dxfs count="215">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s>
  <tableStyles count="0" defaultTableStyle="TableStyleMedium2" defaultPivotStyle="PivotStyleLight16"/>
  <colors>
    <mruColors>
      <color rgb="FFFF57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twoCellAnchor editAs="oneCell">
    <xdr:from>
      <xdr:col>21</xdr:col>
      <xdr:colOff>114480</xdr:colOff>
      <xdr:row>1</xdr:row>
      <xdr:rowOff>20160</xdr:rowOff>
    </xdr:from>
    <xdr:to>
      <xdr:col>24</xdr:col>
      <xdr:colOff>2805</xdr:colOff>
      <xdr:row>13</xdr:row>
      <xdr:rowOff>80315</xdr:rowOff>
    </xdr:to>
    <xdr:pic>
      <xdr:nvPicPr>
        <xdr:cNvPr id="2" name="Picture 7">
          <a:extLst>
            <a:ext uri="{FF2B5EF4-FFF2-40B4-BE49-F238E27FC236}">
              <a16:creationId xmlns:a16="http://schemas.microsoft.com/office/drawing/2014/main" id="{C1F6FE19-4F70-4D19-950D-F254B3367031}"/>
            </a:ext>
          </a:extLst>
        </xdr:cNvPr>
        <xdr:cNvPicPr/>
      </xdr:nvPicPr>
      <xdr:blipFill>
        <a:blip xmlns:r="http://schemas.openxmlformats.org/officeDocument/2006/relationships" r:embed="rId1" cstate="print"/>
        <a:stretch/>
      </xdr:blipFill>
      <xdr:spPr>
        <a:xfrm>
          <a:off x="12830355" y="148748"/>
          <a:ext cx="1802850" cy="1696867"/>
        </a:xfrm>
        <a:prstGeom prst="rect">
          <a:avLst/>
        </a:prstGeom>
        <a:ln>
          <a:noFill/>
        </a:ln>
      </xdr:spPr>
    </xdr:pic>
    <xdr:clientData/>
  </xdr:twoCellAnchor>
  <xdr:twoCellAnchor editAs="oneCell">
    <xdr:from>
      <xdr:col>24</xdr:col>
      <xdr:colOff>154080</xdr:colOff>
      <xdr:row>1</xdr:row>
      <xdr:rowOff>47520</xdr:rowOff>
    </xdr:from>
    <xdr:to>
      <xdr:col>27</xdr:col>
      <xdr:colOff>1035</xdr:colOff>
      <xdr:row>13</xdr:row>
      <xdr:rowOff>91115</xdr:rowOff>
    </xdr:to>
    <xdr:pic>
      <xdr:nvPicPr>
        <xdr:cNvPr id="3" name="Picture 8">
          <a:extLst>
            <a:ext uri="{FF2B5EF4-FFF2-40B4-BE49-F238E27FC236}">
              <a16:creationId xmlns:a16="http://schemas.microsoft.com/office/drawing/2014/main" id="{3ACDD5CE-7145-40F7-B3CA-11DFF25ECFD7}"/>
            </a:ext>
          </a:extLst>
        </xdr:cNvPr>
        <xdr:cNvPicPr/>
      </xdr:nvPicPr>
      <xdr:blipFill>
        <a:blip xmlns:r="http://schemas.openxmlformats.org/officeDocument/2006/relationships" r:embed="rId2" cstate="print"/>
        <a:stretch/>
      </xdr:blipFill>
      <xdr:spPr>
        <a:xfrm>
          <a:off x="14955930" y="176108"/>
          <a:ext cx="1780530" cy="1680307"/>
        </a:xfrm>
        <a:prstGeom prst="rect">
          <a:avLst/>
        </a:prstGeom>
        <a:ln>
          <a:noFill/>
        </a:ln>
      </xdr:spPr>
    </xdr:pic>
    <xdr:clientData/>
  </xdr:twoCellAnchor>
  <xdr:twoCellAnchor editAs="oneCell">
    <xdr:from>
      <xdr:col>21</xdr:col>
      <xdr:colOff>101520</xdr:colOff>
      <xdr:row>26</xdr:row>
      <xdr:rowOff>0</xdr:rowOff>
    </xdr:from>
    <xdr:to>
      <xdr:col>24</xdr:col>
      <xdr:colOff>105629</xdr:colOff>
      <xdr:row>41</xdr:row>
      <xdr:rowOff>94562</xdr:rowOff>
    </xdr:to>
    <xdr:pic>
      <xdr:nvPicPr>
        <xdr:cNvPr id="4" name="Picture 9">
          <a:extLst>
            <a:ext uri="{FF2B5EF4-FFF2-40B4-BE49-F238E27FC236}">
              <a16:creationId xmlns:a16="http://schemas.microsoft.com/office/drawing/2014/main" id="{FE8939C3-1086-4463-A2E8-A0C583C2A30A}"/>
            </a:ext>
          </a:extLst>
        </xdr:cNvPr>
        <xdr:cNvPicPr/>
      </xdr:nvPicPr>
      <xdr:blipFill>
        <a:blip xmlns:r="http://schemas.openxmlformats.org/officeDocument/2006/relationships" r:embed="rId3" cstate="print"/>
        <a:stretch/>
      </xdr:blipFill>
      <xdr:spPr>
        <a:xfrm>
          <a:off x="12817395" y="2687138"/>
          <a:ext cx="1947210" cy="2008365"/>
        </a:xfrm>
        <a:prstGeom prst="rect">
          <a:avLst/>
        </a:prstGeom>
        <a:ln>
          <a:noFill/>
        </a:ln>
      </xdr:spPr>
    </xdr:pic>
    <xdr:clientData/>
  </xdr:twoCellAnchor>
  <xdr:twoCellAnchor editAs="oneCell">
    <xdr:from>
      <xdr:col>24</xdr:col>
      <xdr:colOff>77760</xdr:colOff>
      <xdr:row>26</xdr:row>
      <xdr:rowOff>0</xdr:rowOff>
    </xdr:from>
    <xdr:to>
      <xdr:col>27</xdr:col>
      <xdr:colOff>19951</xdr:colOff>
      <xdr:row>41</xdr:row>
      <xdr:rowOff>46076</xdr:rowOff>
    </xdr:to>
    <xdr:pic>
      <xdr:nvPicPr>
        <xdr:cNvPr id="5" name="Picture 10">
          <a:extLst>
            <a:ext uri="{FF2B5EF4-FFF2-40B4-BE49-F238E27FC236}">
              <a16:creationId xmlns:a16="http://schemas.microsoft.com/office/drawing/2014/main" id="{A010AD84-C047-4165-BE17-B2B8706E0B03}"/>
            </a:ext>
          </a:extLst>
        </xdr:cNvPr>
        <xdr:cNvPicPr/>
      </xdr:nvPicPr>
      <xdr:blipFill>
        <a:blip xmlns:r="http://schemas.openxmlformats.org/officeDocument/2006/relationships" r:embed="rId4" cstate="print"/>
        <a:stretch/>
      </xdr:blipFill>
      <xdr:spPr>
        <a:xfrm>
          <a:off x="14879610" y="2683538"/>
          <a:ext cx="1885290" cy="1961925"/>
        </a:xfrm>
        <a:prstGeom prst="rect">
          <a:avLst/>
        </a:prstGeom>
        <a:ln>
          <a:noFill/>
        </a:ln>
      </xdr:spPr>
    </xdr:pic>
    <xdr:clientData/>
  </xdr:twoCellAnchor>
  <xdr:twoCellAnchor editAs="oneCell">
    <xdr:from>
      <xdr:col>21</xdr:col>
      <xdr:colOff>127080</xdr:colOff>
      <xdr:row>26</xdr:row>
      <xdr:rowOff>0</xdr:rowOff>
    </xdr:from>
    <xdr:to>
      <xdr:col>24</xdr:col>
      <xdr:colOff>148634</xdr:colOff>
      <xdr:row>38</xdr:row>
      <xdr:rowOff>99610</xdr:rowOff>
    </xdr:to>
    <xdr:pic>
      <xdr:nvPicPr>
        <xdr:cNvPr id="6" name="Picture 11">
          <a:extLst>
            <a:ext uri="{FF2B5EF4-FFF2-40B4-BE49-F238E27FC236}">
              <a16:creationId xmlns:a16="http://schemas.microsoft.com/office/drawing/2014/main" id="{DA8ECE80-492A-406F-ADE4-8C792CD18FA8}"/>
            </a:ext>
          </a:extLst>
        </xdr:cNvPr>
        <xdr:cNvPicPr/>
      </xdr:nvPicPr>
      <xdr:blipFill>
        <a:blip xmlns:r="http://schemas.openxmlformats.org/officeDocument/2006/relationships" r:embed="rId5" cstate="print"/>
        <a:stretch/>
      </xdr:blipFill>
      <xdr:spPr>
        <a:xfrm>
          <a:off x="12842955" y="3530010"/>
          <a:ext cx="1964655" cy="1699665"/>
        </a:xfrm>
        <a:prstGeom prst="rect">
          <a:avLst/>
        </a:prstGeom>
        <a:ln>
          <a:noFill/>
        </a:ln>
      </xdr:spPr>
    </xdr:pic>
    <xdr:clientData/>
  </xdr:twoCellAnchor>
  <xdr:twoCellAnchor editAs="oneCell">
    <xdr:from>
      <xdr:col>24</xdr:col>
      <xdr:colOff>166320</xdr:colOff>
      <xdr:row>26</xdr:row>
      <xdr:rowOff>25560</xdr:rowOff>
    </xdr:from>
    <xdr:to>
      <xdr:col>27</xdr:col>
      <xdr:colOff>22471</xdr:colOff>
      <xdr:row>38</xdr:row>
      <xdr:rowOff>17479</xdr:rowOff>
    </xdr:to>
    <xdr:pic>
      <xdr:nvPicPr>
        <xdr:cNvPr id="7" name="Picture 12">
          <a:extLst>
            <a:ext uri="{FF2B5EF4-FFF2-40B4-BE49-F238E27FC236}">
              <a16:creationId xmlns:a16="http://schemas.microsoft.com/office/drawing/2014/main" id="{FDBD5453-306E-478A-8670-419B01ECCD30}"/>
            </a:ext>
          </a:extLst>
        </xdr:cNvPr>
        <xdr:cNvPicPr/>
      </xdr:nvPicPr>
      <xdr:blipFill>
        <a:blip xmlns:r="http://schemas.openxmlformats.org/officeDocument/2006/relationships" r:embed="rId6" cstate="print"/>
        <a:stretch/>
      </xdr:blipFill>
      <xdr:spPr>
        <a:xfrm>
          <a:off x="14968170" y="4192748"/>
          <a:ext cx="1799250" cy="1530210"/>
        </a:xfrm>
        <a:prstGeom prst="rect">
          <a:avLst/>
        </a:prstGeom>
        <a:ln>
          <a:noFill/>
        </a:ln>
      </xdr:spPr>
    </xdr:pic>
    <xdr:clientData/>
  </xdr:twoCellAnchor>
  <xdr:twoCellAnchor editAs="oneCell">
    <xdr:from>
      <xdr:col>27</xdr:col>
      <xdr:colOff>76320</xdr:colOff>
      <xdr:row>1</xdr:row>
      <xdr:rowOff>11880</xdr:rowOff>
    </xdr:from>
    <xdr:to>
      <xdr:col>29</xdr:col>
      <xdr:colOff>574807</xdr:colOff>
      <xdr:row>13</xdr:row>
      <xdr:rowOff>75635</xdr:rowOff>
    </xdr:to>
    <xdr:pic>
      <xdr:nvPicPr>
        <xdr:cNvPr id="8" name="Picture 13">
          <a:extLst>
            <a:ext uri="{FF2B5EF4-FFF2-40B4-BE49-F238E27FC236}">
              <a16:creationId xmlns:a16="http://schemas.microsoft.com/office/drawing/2014/main" id="{9E88158B-D781-4E9A-9E9B-72ABE9A30FA9}"/>
            </a:ext>
          </a:extLst>
        </xdr:cNvPr>
        <xdr:cNvPicPr/>
      </xdr:nvPicPr>
      <xdr:blipFill>
        <a:blip xmlns:r="http://schemas.openxmlformats.org/officeDocument/2006/relationships" r:embed="rId7" cstate="print"/>
        <a:stretch/>
      </xdr:blipFill>
      <xdr:spPr>
        <a:xfrm>
          <a:off x="16964145" y="140468"/>
          <a:ext cx="1793887" cy="1700467"/>
        </a:xfrm>
        <a:prstGeom prst="rect">
          <a:avLst/>
        </a:prstGeom>
        <a:ln>
          <a:noFill/>
        </a:ln>
      </xdr:spPr>
    </xdr:pic>
    <xdr:clientData/>
  </xdr:twoCellAnchor>
  <xdr:twoCellAnchor editAs="oneCell">
    <xdr:from>
      <xdr:col>27</xdr:col>
      <xdr:colOff>110160</xdr:colOff>
      <xdr:row>26</xdr:row>
      <xdr:rowOff>0</xdr:rowOff>
    </xdr:from>
    <xdr:to>
      <xdr:col>30</xdr:col>
      <xdr:colOff>12989</xdr:colOff>
      <xdr:row>40</xdr:row>
      <xdr:rowOff>82459</xdr:rowOff>
    </xdr:to>
    <xdr:pic>
      <xdr:nvPicPr>
        <xdr:cNvPr id="9" name="Picture 14">
          <a:extLst>
            <a:ext uri="{FF2B5EF4-FFF2-40B4-BE49-F238E27FC236}">
              <a16:creationId xmlns:a16="http://schemas.microsoft.com/office/drawing/2014/main" id="{1B3C9BDA-9CA7-4BBF-A5FA-C3FED687C122}"/>
            </a:ext>
          </a:extLst>
        </xdr:cNvPr>
        <xdr:cNvPicPr/>
      </xdr:nvPicPr>
      <xdr:blipFill>
        <a:blip xmlns:r="http://schemas.openxmlformats.org/officeDocument/2006/relationships" r:embed="rId8" cstate="print"/>
        <a:stretch/>
      </xdr:blipFill>
      <xdr:spPr>
        <a:xfrm>
          <a:off x="16997985" y="2655458"/>
          <a:ext cx="1845930" cy="1900110"/>
        </a:xfrm>
        <a:prstGeom prst="rect">
          <a:avLst/>
        </a:prstGeom>
        <a:ln>
          <a:noFill/>
        </a:ln>
      </xdr:spPr>
    </xdr:pic>
    <xdr:clientData/>
  </xdr:twoCellAnchor>
  <xdr:twoCellAnchor editAs="oneCell">
    <xdr:from>
      <xdr:col>27</xdr:col>
      <xdr:colOff>59760</xdr:colOff>
      <xdr:row>26</xdr:row>
      <xdr:rowOff>0</xdr:rowOff>
    </xdr:from>
    <xdr:to>
      <xdr:col>30</xdr:col>
      <xdr:colOff>31349</xdr:colOff>
      <xdr:row>40</xdr:row>
      <xdr:rowOff>40836</xdr:rowOff>
    </xdr:to>
    <xdr:pic>
      <xdr:nvPicPr>
        <xdr:cNvPr id="10" name="Picture 15">
          <a:extLst>
            <a:ext uri="{FF2B5EF4-FFF2-40B4-BE49-F238E27FC236}">
              <a16:creationId xmlns:a16="http://schemas.microsoft.com/office/drawing/2014/main" id="{0A1A1BA0-16F9-4987-8DF0-F888361782A0}"/>
            </a:ext>
          </a:extLst>
        </xdr:cNvPr>
        <xdr:cNvPicPr/>
      </xdr:nvPicPr>
      <xdr:blipFill>
        <a:blip xmlns:r="http://schemas.openxmlformats.org/officeDocument/2006/relationships" r:embed="rId9" cstate="print"/>
        <a:stretch/>
      </xdr:blipFill>
      <xdr:spPr>
        <a:xfrm>
          <a:off x="16947585" y="3648090"/>
          <a:ext cx="1914690" cy="1684185"/>
        </a:xfrm>
        <a:prstGeom prst="rect">
          <a:avLst/>
        </a:prstGeom>
        <a:ln>
          <a:noFill/>
        </a:ln>
      </xdr:spPr>
    </xdr:pic>
    <xdr:clientData/>
  </xdr:twoCellAnchor>
  <xdr:twoCellAnchor editAs="oneCell">
    <xdr:from>
      <xdr:col>30</xdr:col>
      <xdr:colOff>76320</xdr:colOff>
      <xdr:row>1</xdr:row>
      <xdr:rowOff>15480</xdr:rowOff>
    </xdr:from>
    <xdr:to>
      <xdr:col>33</xdr:col>
      <xdr:colOff>31748</xdr:colOff>
      <xdr:row>14</xdr:row>
      <xdr:rowOff>119317</xdr:rowOff>
    </xdr:to>
    <xdr:pic>
      <xdr:nvPicPr>
        <xdr:cNvPr id="11" name="Picture 16">
          <a:extLst>
            <a:ext uri="{FF2B5EF4-FFF2-40B4-BE49-F238E27FC236}">
              <a16:creationId xmlns:a16="http://schemas.microsoft.com/office/drawing/2014/main" id="{CD7A5779-B51E-448A-BA04-CF70F1BB4511}"/>
            </a:ext>
          </a:extLst>
        </xdr:cNvPr>
        <xdr:cNvPicPr/>
      </xdr:nvPicPr>
      <xdr:blipFill>
        <a:blip xmlns:r="http://schemas.openxmlformats.org/officeDocument/2006/relationships" r:embed="rId10" cstate="print"/>
        <a:stretch/>
      </xdr:blipFill>
      <xdr:spPr>
        <a:xfrm>
          <a:off x="18888195" y="144068"/>
          <a:ext cx="1898527" cy="1865962"/>
        </a:xfrm>
        <a:prstGeom prst="rect">
          <a:avLst/>
        </a:prstGeom>
        <a:ln>
          <a:noFill/>
        </a:ln>
      </xdr:spPr>
    </xdr:pic>
    <xdr:clientData/>
  </xdr:twoCellAnchor>
</xdr:wsDr>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92D050"/>
    <pageSetUpPr fitToPage="1"/>
  </sheetPr>
  <dimension ref="A2:C33"/>
  <sheetViews>
    <sheetView view="pageBreakPreview" zoomScaleNormal="100" zoomScaleSheetLayoutView="100" workbookViewId="0">
      <selection activeCell="B24" sqref="B24"/>
    </sheetView>
  </sheetViews>
  <sheetFormatPr defaultRowHeight="11.25" x14ac:dyDescent="0.2"/>
  <cols>
    <col min="1" max="1" width="16.85546875" style="1" customWidth="1"/>
    <col min="2" max="2" width="43.42578125" style="1" customWidth="1"/>
    <col min="3" max="3" width="22.42578125" style="1" customWidth="1"/>
    <col min="4" max="210" width="9.140625" style="1"/>
    <col min="211" max="211" width="1.42578125" style="1" customWidth="1"/>
    <col min="212" max="212" width="2.140625" style="1" customWidth="1"/>
    <col min="213" max="213" width="16.85546875" style="1" customWidth="1"/>
    <col min="214" max="214" width="43.42578125" style="1" customWidth="1"/>
    <col min="215" max="215" width="22.42578125" style="1" customWidth="1"/>
    <col min="216" max="216" width="9.140625" style="1"/>
    <col min="217" max="217" width="13.85546875" style="1" bestFit="1" customWidth="1"/>
    <col min="218" max="466" width="9.140625" style="1"/>
    <col min="467" max="467" width="1.42578125" style="1" customWidth="1"/>
    <col min="468" max="468" width="2.140625" style="1" customWidth="1"/>
    <col min="469" max="469" width="16.85546875" style="1" customWidth="1"/>
    <col min="470" max="470" width="43.42578125" style="1" customWidth="1"/>
    <col min="471" max="471" width="22.42578125" style="1" customWidth="1"/>
    <col min="472" max="472" width="9.140625" style="1"/>
    <col min="473" max="473" width="13.85546875" style="1" bestFit="1" customWidth="1"/>
    <col min="474" max="722" width="9.140625" style="1"/>
    <col min="723" max="723" width="1.42578125" style="1" customWidth="1"/>
    <col min="724" max="724" width="2.140625" style="1" customWidth="1"/>
    <col min="725" max="725" width="16.85546875" style="1" customWidth="1"/>
    <col min="726" max="726" width="43.42578125" style="1" customWidth="1"/>
    <col min="727" max="727" width="22.42578125" style="1" customWidth="1"/>
    <col min="728" max="728" width="9.140625" style="1"/>
    <col min="729" max="729" width="13.85546875" style="1" bestFit="1" customWidth="1"/>
    <col min="730" max="978" width="9.140625" style="1"/>
    <col min="979" max="979" width="1.42578125" style="1" customWidth="1"/>
    <col min="980" max="980" width="2.140625" style="1" customWidth="1"/>
    <col min="981" max="981" width="16.85546875" style="1" customWidth="1"/>
    <col min="982" max="982" width="43.42578125" style="1" customWidth="1"/>
    <col min="983" max="983" width="22.42578125" style="1" customWidth="1"/>
    <col min="984" max="984" width="9.140625" style="1"/>
    <col min="985" max="985" width="13.85546875" style="1" bestFit="1" customWidth="1"/>
    <col min="986" max="1234" width="9.140625" style="1"/>
    <col min="1235" max="1235" width="1.42578125" style="1" customWidth="1"/>
    <col min="1236" max="1236" width="2.140625" style="1" customWidth="1"/>
    <col min="1237" max="1237" width="16.85546875" style="1" customWidth="1"/>
    <col min="1238" max="1238" width="43.42578125" style="1" customWidth="1"/>
    <col min="1239" max="1239" width="22.42578125" style="1" customWidth="1"/>
    <col min="1240" max="1240" width="9.140625" style="1"/>
    <col min="1241" max="1241" width="13.85546875" style="1" bestFit="1" customWidth="1"/>
    <col min="1242" max="1490" width="9.140625" style="1"/>
    <col min="1491" max="1491" width="1.42578125" style="1" customWidth="1"/>
    <col min="1492" max="1492" width="2.140625" style="1" customWidth="1"/>
    <col min="1493" max="1493" width="16.85546875" style="1" customWidth="1"/>
    <col min="1494" max="1494" width="43.42578125" style="1" customWidth="1"/>
    <col min="1495" max="1495" width="22.42578125" style="1" customWidth="1"/>
    <col min="1496" max="1496" width="9.140625" style="1"/>
    <col min="1497" max="1497" width="13.85546875" style="1" bestFit="1" customWidth="1"/>
    <col min="1498" max="1746" width="9.140625" style="1"/>
    <col min="1747" max="1747" width="1.42578125" style="1" customWidth="1"/>
    <col min="1748" max="1748" width="2.140625" style="1" customWidth="1"/>
    <col min="1749" max="1749" width="16.85546875" style="1" customWidth="1"/>
    <col min="1750" max="1750" width="43.42578125" style="1" customWidth="1"/>
    <col min="1751" max="1751" width="22.42578125" style="1" customWidth="1"/>
    <col min="1752" max="1752" width="9.140625" style="1"/>
    <col min="1753" max="1753" width="13.85546875" style="1" bestFit="1" customWidth="1"/>
    <col min="1754" max="2002" width="9.140625" style="1"/>
    <col min="2003" max="2003" width="1.42578125" style="1" customWidth="1"/>
    <col min="2004" max="2004" width="2.140625" style="1" customWidth="1"/>
    <col min="2005" max="2005" width="16.85546875" style="1" customWidth="1"/>
    <col min="2006" max="2006" width="43.42578125" style="1" customWidth="1"/>
    <col min="2007" max="2007" width="22.42578125" style="1" customWidth="1"/>
    <col min="2008" max="2008" width="9.140625" style="1"/>
    <col min="2009" max="2009" width="13.85546875" style="1" bestFit="1" customWidth="1"/>
    <col min="2010" max="2258" width="9.140625" style="1"/>
    <col min="2259" max="2259" width="1.42578125" style="1" customWidth="1"/>
    <col min="2260" max="2260" width="2.140625" style="1" customWidth="1"/>
    <col min="2261" max="2261" width="16.85546875" style="1" customWidth="1"/>
    <col min="2262" max="2262" width="43.42578125" style="1" customWidth="1"/>
    <col min="2263" max="2263" width="22.42578125" style="1" customWidth="1"/>
    <col min="2264" max="2264" width="9.140625" style="1"/>
    <col min="2265" max="2265" width="13.85546875" style="1" bestFit="1" customWidth="1"/>
    <col min="2266" max="2514" width="9.140625" style="1"/>
    <col min="2515" max="2515" width="1.42578125" style="1" customWidth="1"/>
    <col min="2516" max="2516" width="2.140625" style="1" customWidth="1"/>
    <col min="2517" max="2517" width="16.85546875" style="1" customWidth="1"/>
    <col min="2518" max="2518" width="43.42578125" style="1" customWidth="1"/>
    <col min="2519" max="2519" width="22.42578125" style="1" customWidth="1"/>
    <col min="2520" max="2520" width="9.140625" style="1"/>
    <col min="2521" max="2521" width="13.85546875" style="1" bestFit="1" customWidth="1"/>
    <col min="2522" max="2770" width="9.140625" style="1"/>
    <col min="2771" max="2771" width="1.42578125" style="1" customWidth="1"/>
    <col min="2772" max="2772" width="2.140625" style="1" customWidth="1"/>
    <col min="2773" max="2773" width="16.85546875" style="1" customWidth="1"/>
    <col min="2774" max="2774" width="43.42578125" style="1" customWidth="1"/>
    <col min="2775" max="2775" width="22.42578125" style="1" customWidth="1"/>
    <col min="2776" max="2776" width="9.140625" style="1"/>
    <col min="2777" max="2777" width="13.85546875" style="1" bestFit="1" customWidth="1"/>
    <col min="2778" max="3026" width="9.140625" style="1"/>
    <col min="3027" max="3027" width="1.42578125" style="1" customWidth="1"/>
    <col min="3028" max="3028" width="2.140625" style="1" customWidth="1"/>
    <col min="3029" max="3029" width="16.85546875" style="1" customWidth="1"/>
    <col min="3030" max="3030" width="43.42578125" style="1" customWidth="1"/>
    <col min="3031" max="3031" width="22.42578125" style="1" customWidth="1"/>
    <col min="3032" max="3032" width="9.140625" style="1"/>
    <col min="3033" max="3033" width="13.85546875" style="1" bestFit="1" customWidth="1"/>
    <col min="3034" max="3282" width="9.140625" style="1"/>
    <col min="3283" max="3283" width="1.42578125" style="1" customWidth="1"/>
    <col min="3284" max="3284" width="2.140625" style="1" customWidth="1"/>
    <col min="3285" max="3285" width="16.85546875" style="1" customWidth="1"/>
    <col min="3286" max="3286" width="43.42578125" style="1" customWidth="1"/>
    <col min="3287" max="3287" width="22.42578125" style="1" customWidth="1"/>
    <col min="3288" max="3288" width="9.140625" style="1"/>
    <col min="3289" max="3289" width="13.85546875" style="1" bestFit="1" customWidth="1"/>
    <col min="3290" max="3538" width="9.140625" style="1"/>
    <col min="3539" max="3539" width="1.42578125" style="1" customWidth="1"/>
    <col min="3540" max="3540" width="2.140625" style="1" customWidth="1"/>
    <col min="3541" max="3541" width="16.85546875" style="1" customWidth="1"/>
    <col min="3542" max="3542" width="43.42578125" style="1" customWidth="1"/>
    <col min="3543" max="3543" width="22.42578125" style="1" customWidth="1"/>
    <col min="3544" max="3544" width="9.140625" style="1"/>
    <col min="3545" max="3545" width="13.85546875" style="1" bestFit="1" customWidth="1"/>
    <col min="3546" max="3794" width="9.140625" style="1"/>
    <col min="3795" max="3795" width="1.42578125" style="1" customWidth="1"/>
    <col min="3796" max="3796" width="2.140625" style="1" customWidth="1"/>
    <col min="3797" max="3797" width="16.85546875" style="1" customWidth="1"/>
    <col min="3798" max="3798" width="43.42578125" style="1" customWidth="1"/>
    <col min="3799" max="3799" width="22.42578125" style="1" customWidth="1"/>
    <col min="3800" max="3800" width="9.140625" style="1"/>
    <col min="3801" max="3801" width="13.85546875" style="1" bestFit="1" customWidth="1"/>
    <col min="3802" max="4050" width="9.140625" style="1"/>
    <col min="4051" max="4051" width="1.42578125" style="1" customWidth="1"/>
    <col min="4052" max="4052" width="2.140625" style="1" customWidth="1"/>
    <col min="4053" max="4053" width="16.85546875" style="1" customWidth="1"/>
    <col min="4054" max="4054" width="43.42578125" style="1" customWidth="1"/>
    <col min="4055" max="4055" width="22.42578125" style="1" customWidth="1"/>
    <col min="4056" max="4056" width="9.140625" style="1"/>
    <col min="4057" max="4057" width="13.85546875" style="1" bestFit="1" customWidth="1"/>
    <col min="4058" max="4306" width="9.140625" style="1"/>
    <col min="4307" max="4307" width="1.42578125" style="1" customWidth="1"/>
    <col min="4308" max="4308" width="2.140625" style="1" customWidth="1"/>
    <col min="4309" max="4309" width="16.85546875" style="1" customWidth="1"/>
    <col min="4310" max="4310" width="43.42578125" style="1" customWidth="1"/>
    <col min="4311" max="4311" width="22.42578125" style="1" customWidth="1"/>
    <col min="4312" max="4312" width="9.140625" style="1"/>
    <col min="4313" max="4313" width="13.85546875" style="1" bestFit="1" customWidth="1"/>
    <col min="4314" max="4562" width="9.140625" style="1"/>
    <col min="4563" max="4563" width="1.42578125" style="1" customWidth="1"/>
    <col min="4564" max="4564" width="2.140625" style="1" customWidth="1"/>
    <col min="4565" max="4565" width="16.85546875" style="1" customWidth="1"/>
    <col min="4566" max="4566" width="43.42578125" style="1" customWidth="1"/>
    <col min="4567" max="4567" width="22.42578125" style="1" customWidth="1"/>
    <col min="4568" max="4568" width="9.140625" style="1"/>
    <col min="4569" max="4569" width="13.85546875" style="1" bestFit="1" customWidth="1"/>
    <col min="4570" max="4818" width="9.140625" style="1"/>
    <col min="4819" max="4819" width="1.42578125" style="1" customWidth="1"/>
    <col min="4820" max="4820" width="2.140625" style="1" customWidth="1"/>
    <col min="4821" max="4821" width="16.85546875" style="1" customWidth="1"/>
    <col min="4822" max="4822" width="43.42578125" style="1" customWidth="1"/>
    <col min="4823" max="4823" width="22.42578125" style="1" customWidth="1"/>
    <col min="4824" max="4824" width="9.140625" style="1"/>
    <col min="4825" max="4825" width="13.85546875" style="1" bestFit="1" customWidth="1"/>
    <col min="4826" max="5074" width="9.140625" style="1"/>
    <col min="5075" max="5075" width="1.42578125" style="1" customWidth="1"/>
    <col min="5076" max="5076" width="2.140625" style="1" customWidth="1"/>
    <col min="5077" max="5077" width="16.85546875" style="1" customWidth="1"/>
    <col min="5078" max="5078" width="43.42578125" style="1" customWidth="1"/>
    <col min="5079" max="5079" width="22.42578125" style="1" customWidth="1"/>
    <col min="5080" max="5080" width="9.140625" style="1"/>
    <col min="5081" max="5081" width="13.85546875" style="1" bestFit="1" customWidth="1"/>
    <col min="5082" max="5330" width="9.140625" style="1"/>
    <col min="5331" max="5331" width="1.42578125" style="1" customWidth="1"/>
    <col min="5332" max="5332" width="2.140625" style="1" customWidth="1"/>
    <col min="5333" max="5333" width="16.85546875" style="1" customWidth="1"/>
    <col min="5334" max="5334" width="43.42578125" style="1" customWidth="1"/>
    <col min="5335" max="5335" width="22.42578125" style="1" customWidth="1"/>
    <col min="5336" max="5336" width="9.140625" style="1"/>
    <col min="5337" max="5337" width="13.85546875" style="1" bestFit="1" customWidth="1"/>
    <col min="5338" max="5586" width="9.140625" style="1"/>
    <col min="5587" max="5587" width="1.42578125" style="1" customWidth="1"/>
    <col min="5588" max="5588" width="2.140625" style="1" customWidth="1"/>
    <col min="5589" max="5589" width="16.85546875" style="1" customWidth="1"/>
    <col min="5590" max="5590" width="43.42578125" style="1" customWidth="1"/>
    <col min="5591" max="5591" width="22.42578125" style="1" customWidth="1"/>
    <col min="5592" max="5592" width="9.140625" style="1"/>
    <col min="5593" max="5593" width="13.85546875" style="1" bestFit="1" customWidth="1"/>
    <col min="5594" max="5842" width="9.140625" style="1"/>
    <col min="5843" max="5843" width="1.42578125" style="1" customWidth="1"/>
    <col min="5844" max="5844" width="2.140625" style="1" customWidth="1"/>
    <col min="5845" max="5845" width="16.85546875" style="1" customWidth="1"/>
    <col min="5846" max="5846" width="43.42578125" style="1" customWidth="1"/>
    <col min="5847" max="5847" width="22.42578125" style="1" customWidth="1"/>
    <col min="5848" max="5848" width="9.140625" style="1"/>
    <col min="5849" max="5849" width="13.85546875" style="1" bestFit="1" customWidth="1"/>
    <col min="5850" max="6098" width="9.140625" style="1"/>
    <col min="6099" max="6099" width="1.42578125" style="1" customWidth="1"/>
    <col min="6100" max="6100" width="2.140625" style="1" customWidth="1"/>
    <col min="6101" max="6101" width="16.85546875" style="1" customWidth="1"/>
    <col min="6102" max="6102" width="43.42578125" style="1" customWidth="1"/>
    <col min="6103" max="6103" width="22.42578125" style="1" customWidth="1"/>
    <col min="6104" max="6104" width="9.140625" style="1"/>
    <col min="6105" max="6105" width="13.85546875" style="1" bestFit="1" customWidth="1"/>
    <col min="6106" max="6354" width="9.140625" style="1"/>
    <col min="6355" max="6355" width="1.42578125" style="1" customWidth="1"/>
    <col min="6356" max="6356" width="2.140625" style="1" customWidth="1"/>
    <col min="6357" max="6357" width="16.85546875" style="1" customWidth="1"/>
    <col min="6358" max="6358" width="43.42578125" style="1" customWidth="1"/>
    <col min="6359" max="6359" width="22.42578125" style="1" customWidth="1"/>
    <col min="6360" max="6360" width="9.140625" style="1"/>
    <col min="6361" max="6361" width="13.85546875" style="1" bestFit="1" customWidth="1"/>
    <col min="6362" max="6610" width="9.140625" style="1"/>
    <col min="6611" max="6611" width="1.42578125" style="1" customWidth="1"/>
    <col min="6612" max="6612" width="2.140625" style="1" customWidth="1"/>
    <col min="6613" max="6613" width="16.85546875" style="1" customWidth="1"/>
    <col min="6614" max="6614" width="43.42578125" style="1" customWidth="1"/>
    <col min="6615" max="6615" width="22.42578125" style="1" customWidth="1"/>
    <col min="6616" max="6616" width="9.140625" style="1"/>
    <col min="6617" max="6617" width="13.85546875" style="1" bestFit="1" customWidth="1"/>
    <col min="6618" max="6866" width="9.140625" style="1"/>
    <col min="6867" max="6867" width="1.42578125" style="1" customWidth="1"/>
    <col min="6868" max="6868" width="2.140625" style="1" customWidth="1"/>
    <col min="6869" max="6869" width="16.85546875" style="1" customWidth="1"/>
    <col min="6870" max="6870" width="43.42578125" style="1" customWidth="1"/>
    <col min="6871" max="6871" width="22.42578125" style="1" customWidth="1"/>
    <col min="6872" max="6872" width="9.140625" style="1"/>
    <col min="6873" max="6873" width="13.85546875" style="1" bestFit="1" customWidth="1"/>
    <col min="6874" max="7122" width="9.140625" style="1"/>
    <col min="7123" max="7123" width="1.42578125" style="1" customWidth="1"/>
    <col min="7124" max="7124" width="2.140625" style="1" customWidth="1"/>
    <col min="7125" max="7125" width="16.85546875" style="1" customWidth="1"/>
    <col min="7126" max="7126" width="43.42578125" style="1" customWidth="1"/>
    <col min="7127" max="7127" width="22.42578125" style="1" customWidth="1"/>
    <col min="7128" max="7128" width="9.140625" style="1"/>
    <col min="7129" max="7129" width="13.85546875" style="1" bestFit="1" customWidth="1"/>
    <col min="7130" max="7378" width="9.140625" style="1"/>
    <col min="7379" max="7379" width="1.42578125" style="1" customWidth="1"/>
    <col min="7380" max="7380" width="2.140625" style="1" customWidth="1"/>
    <col min="7381" max="7381" width="16.85546875" style="1" customWidth="1"/>
    <col min="7382" max="7382" width="43.42578125" style="1" customWidth="1"/>
    <col min="7383" max="7383" width="22.42578125" style="1" customWidth="1"/>
    <col min="7384" max="7384" width="9.140625" style="1"/>
    <col min="7385" max="7385" width="13.85546875" style="1" bestFit="1" customWidth="1"/>
    <col min="7386" max="7634" width="9.140625" style="1"/>
    <col min="7635" max="7635" width="1.42578125" style="1" customWidth="1"/>
    <col min="7636" max="7636" width="2.140625" style="1" customWidth="1"/>
    <col min="7637" max="7637" width="16.85546875" style="1" customWidth="1"/>
    <col min="7638" max="7638" width="43.42578125" style="1" customWidth="1"/>
    <col min="7639" max="7639" width="22.42578125" style="1" customWidth="1"/>
    <col min="7640" max="7640" width="9.140625" style="1"/>
    <col min="7641" max="7641" width="13.85546875" style="1" bestFit="1" customWidth="1"/>
    <col min="7642" max="7890" width="9.140625" style="1"/>
    <col min="7891" max="7891" width="1.42578125" style="1" customWidth="1"/>
    <col min="7892" max="7892" width="2.140625" style="1" customWidth="1"/>
    <col min="7893" max="7893" width="16.85546875" style="1" customWidth="1"/>
    <col min="7894" max="7894" width="43.42578125" style="1" customWidth="1"/>
    <col min="7895" max="7895" width="22.42578125" style="1" customWidth="1"/>
    <col min="7896" max="7896" width="9.140625" style="1"/>
    <col min="7897" max="7897" width="13.85546875" style="1" bestFit="1" customWidth="1"/>
    <col min="7898" max="8146" width="9.140625" style="1"/>
    <col min="8147" max="8147" width="1.42578125" style="1" customWidth="1"/>
    <col min="8148" max="8148" width="2.140625" style="1" customWidth="1"/>
    <col min="8149" max="8149" width="16.85546875" style="1" customWidth="1"/>
    <col min="8150" max="8150" width="43.42578125" style="1" customWidth="1"/>
    <col min="8151" max="8151" width="22.42578125" style="1" customWidth="1"/>
    <col min="8152" max="8152" width="9.140625" style="1"/>
    <col min="8153" max="8153" width="13.85546875" style="1" bestFit="1" customWidth="1"/>
    <col min="8154" max="8402" width="9.140625" style="1"/>
    <col min="8403" max="8403" width="1.42578125" style="1" customWidth="1"/>
    <col min="8404" max="8404" width="2.140625" style="1" customWidth="1"/>
    <col min="8405" max="8405" width="16.85546875" style="1" customWidth="1"/>
    <col min="8406" max="8406" width="43.42578125" style="1" customWidth="1"/>
    <col min="8407" max="8407" width="22.42578125" style="1" customWidth="1"/>
    <col min="8408" max="8408" width="9.140625" style="1"/>
    <col min="8409" max="8409" width="13.85546875" style="1" bestFit="1" customWidth="1"/>
    <col min="8410" max="8658" width="9.140625" style="1"/>
    <col min="8659" max="8659" width="1.42578125" style="1" customWidth="1"/>
    <col min="8660" max="8660" width="2.140625" style="1" customWidth="1"/>
    <col min="8661" max="8661" width="16.85546875" style="1" customWidth="1"/>
    <col min="8662" max="8662" width="43.42578125" style="1" customWidth="1"/>
    <col min="8663" max="8663" width="22.42578125" style="1" customWidth="1"/>
    <col min="8664" max="8664" width="9.140625" style="1"/>
    <col min="8665" max="8665" width="13.85546875" style="1" bestFit="1" customWidth="1"/>
    <col min="8666" max="8914" width="9.140625" style="1"/>
    <col min="8915" max="8915" width="1.42578125" style="1" customWidth="1"/>
    <col min="8916" max="8916" width="2.140625" style="1" customWidth="1"/>
    <col min="8917" max="8917" width="16.85546875" style="1" customWidth="1"/>
    <col min="8918" max="8918" width="43.42578125" style="1" customWidth="1"/>
    <col min="8919" max="8919" width="22.42578125" style="1" customWidth="1"/>
    <col min="8920" max="8920" width="9.140625" style="1"/>
    <col min="8921" max="8921" width="13.85546875" style="1" bestFit="1" customWidth="1"/>
    <col min="8922" max="9170" width="9.140625" style="1"/>
    <col min="9171" max="9171" width="1.42578125" style="1" customWidth="1"/>
    <col min="9172" max="9172" width="2.140625" style="1" customWidth="1"/>
    <col min="9173" max="9173" width="16.85546875" style="1" customWidth="1"/>
    <col min="9174" max="9174" width="43.42578125" style="1" customWidth="1"/>
    <col min="9175" max="9175" width="22.42578125" style="1" customWidth="1"/>
    <col min="9176" max="9176" width="9.140625" style="1"/>
    <col min="9177" max="9177" width="13.85546875" style="1" bestFit="1" customWidth="1"/>
    <col min="9178" max="9426" width="9.140625" style="1"/>
    <col min="9427" max="9427" width="1.42578125" style="1" customWidth="1"/>
    <col min="9428" max="9428" width="2.140625" style="1" customWidth="1"/>
    <col min="9429" max="9429" width="16.85546875" style="1" customWidth="1"/>
    <col min="9430" max="9430" width="43.42578125" style="1" customWidth="1"/>
    <col min="9431" max="9431" width="22.42578125" style="1" customWidth="1"/>
    <col min="9432" max="9432" width="9.140625" style="1"/>
    <col min="9433" max="9433" width="13.85546875" style="1" bestFit="1" customWidth="1"/>
    <col min="9434" max="9682" width="9.140625" style="1"/>
    <col min="9683" max="9683" width="1.42578125" style="1" customWidth="1"/>
    <col min="9684" max="9684" width="2.140625" style="1" customWidth="1"/>
    <col min="9685" max="9685" width="16.85546875" style="1" customWidth="1"/>
    <col min="9686" max="9686" width="43.42578125" style="1" customWidth="1"/>
    <col min="9687" max="9687" width="22.42578125" style="1" customWidth="1"/>
    <col min="9688" max="9688" width="9.140625" style="1"/>
    <col min="9689" max="9689" width="13.85546875" style="1" bestFit="1" customWidth="1"/>
    <col min="9690" max="9938" width="9.140625" style="1"/>
    <col min="9939" max="9939" width="1.42578125" style="1" customWidth="1"/>
    <col min="9940" max="9940" width="2.140625" style="1" customWidth="1"/>
    <col min="9941" max="9941" width="16.85546875" style="1" customWidth="1"/>
    <col min="9942" max="9942" width="43.42578125" style="1" customWidth="1"/>
    <col min="9943" max="9943" width="22.42578125" style="1" customWidth="1"/>
    <col min="9944" max="9944" width="9.140625" style="1"/>
    <col min="9945" max="9945" width="13.85546875" style="1" bestFit="1" customWidth="1"/>
    <col min="9946" max="10194" width="9.140625" style="1"/>
    <col min="10195" max="10195" width="1.42578125" style="1" customWidth="1"/>
    <col min="10196" max="10196" width="2.140625" style="1" customWidth="1"/>
    <col min="10197" max="10197" width="16.85546875" style="1" customWidth="1"/>
    <col min="10198" max="10198" width="43.42578125" style="1" customWidth="1"/>
    <col min="10199" max="10199" width="22.42578125" style="1" customWidth="1"/>
    <col min="10200" max="10200" width="9.140625" style="1"/>
    <col min="10201" max="10201" width="13.85546875" style="1" bestFit="1" customWidth="1"/>
    <col min="10202" max="10450" width="9.140625" style="1"/>
    <col min="10451" max="10451" width="1.42578125" style="1" customWidth="1"/>
    <col min="10452" max="10452" width="2.140625" style="1" customWidth="1"/>
    <col min="10453" max="10453" width="16.85546875" style="1" customWidth="1"/>
    <col min="10454" max="10454" width="43.42578125" style="1" customWidth="1"/>
    <col min="10455" max="10455" width="22.42578125" style="1" customWidth="1"/>
    <col min="10456" max="10456" width="9.140625" style="1"/>
    <col min="10457" max="10457" width="13.85546875" style="1" bestFit="1" customWidth="1"/>
    <col min="10458" max="10706" width="9.140625" style="1"/>
    <col min="10707" max="10707" width="1.42578125" style="1" customWidth="1"/>
    <col min="10708" max="10708" width="2.140625" style="1" customWidth="1"/>
    <col min="10709" max="10709" width="16.85546875" style="1" customWidth="1"/>
    <col min="10710" max="10710" width="43.42578125" style="1" customWidth="1"/>
    <col min="10711" max="10711" width="22.42578125" style="1" customWidth="1"/>
    <col min="10712" max="10712" width="9.140625" style="1"/>
    <col min="10713" max="10713" width="13.85546875" style="1" bestFit="1" customWidth="1"/>
    <col min="10714" max="10962" width="9.140625" style="1"/>
    <col min="10963" max="10963" width="1.42578125" style="1" customWidth="1"/>
    <col min="10964" max="10964" width="2.140625" style="1" customWidth="1"/>
    <col min="10965" max="10965" width="16.85546875" style="1" customWidth="1"/>
    <col min="10966" max="10966" width="43.42578125" style="1" customWidth="1"/>
    <col min="10967" max="10967" width="22.42578125" style="1" customWidth="1"/>
    <col min="10968" max="10968" width="9.140625" style="1"/>
    <col min="10969" max="10969" width="13.85546875" style="1" bestFit="1" customWidth="1"/>
    <col min="10970" max="11218" width="9.140625" style="1"/>
    <col min="11219" max="11219" width="1.42578125" style="1" customWidth="1"/>
    <col min="11220" max="11220" width="2.140625" style="1" customWidth="1"/>
    <col min="11221" max="11221" width="16.85546875" style="1" customWidth="1"/>
    <col min="11222" max="11222" width="43.42578125" style="1" customWidth="1"/>
    <col min="11223" max="11223" width="22.42578125" style="1" customWidth="1"/>
    <col min="11224" max="11224" width="9.140625" style="1"/>
    <col min="11225" max="11225" width="13.85546875" style="1" bestFit="1" customWidth="1"/>
    <col min="11226" max="11474" width="9.140625" style="1"/>
    <col min="11475" max="11475" width="1.42578125" style="1" customWidth="1"/>
    <col min="11476" max="11476" width="2.140625" style="1" customWidth="1"/>
    <col min="11477" max="11477" width="16.85546875" style="1" customWidth="1"/>
    <col min="11478" max="11478" width="43.42578125" style="1" customWidth="1"/>
    <col min="11479" max="11479" width="22.42578125" style="1" customWidth="1"/>
    <col min="11480" max="11480" width="9.140625" style="1"/>
    <col min="11481" max="11481" width="13.85546875" style="1" bestFit="1" customWidth="1"/>
    <col min="11482" max="11730" width="9.140625" style="1"/>
    <col min="11731" max="11731" width="1.42578125" style="1" customWidth="1"/>
    <col min="11732" max="11732" width="2.140625" style="1" customWidth="1"/>
    <col min="11733" max="11733" width="16.85546875" style="1" customWidth="1"/>
    <col min="11734" max="11734" width="43.42578125" style="1" customWidth="1"/>
    <col min="11735" max="11735" width="22.42578125" style="1" customWidth="1"/>
    <col min="11736" max="11736" width="9.140625" style="1"/>
    <col min="11737" max="11737" width="13.85546875" style="1" bestFit="1" customWidth="1"/>
    <col min="11738" max="11986" width="9.140625" style="1"/>
    <col min="11987" max="11987" width="1.42578125" style="1" customWidth="1"/>
    <col min="11988" max="11988" width="2.140625" style="1" customWidth="1"/>
    <col min="11989" max="11989" width="16.85546875" style="1" customWidth="1"/>
    <col min="11990" max="11990" width="43.42578125" style="1" customWidth="1"/>
    <col min="11991" max="11991" width="22.42578125" style="1" customWidth="1"/>
    <col min="11992" max="11992" width="9.140625" style="1"/>
    <col min="11993" max="11993" width="13.85546875" style="1" bestFit="1" customWidth="1"/>
    <col min="11994" max="12242" width="9.140625" style="1"/>
    <col min="12243" max="12243" width="1.42578125" style="1" customWidth="1"/>
    <col min="12244" max="12244" width="2.140625" style="1" customWidth="1"/>
    <col min="12245" max="12245" width="16.85546875" style="1" customWidth="1"/>
    <col min="12246" max="12246" width="43.42578125" style="1" customWidth="1"/>
    <col min="12247" max="12247" width="22.42578125" style="1" customWidth="1"/>
    <col min="12248" max="12248" width="9.140625" style="1"/>
    <col min="12249" max="12249" width="13.85546875" style="1" bestFit="1" customWidth="1"/>
    <col min="12250" max="12498" width="9.140625" style="1"/>
    <col min="12499" max="12499" width="1.42578125" style="1" customWidth="1"/>
    <col min="12500" max="12500" width="2.140625" style="1" customWidth="1"/>
    <col min="12501" max="12501" width="16.85546875" style="1" customWidth="1"/>
    <col min="12502" max="12502" width="43.42578125" style="1" customWidth="1"/>
    <col min="12503" max="12503" width="22.42578125" style="1" customWidth="1"/>
    <col min="12504" max="12504" width="9.140625" style="1"/>
    <col min="12505" max="12505" width="13.85546875" style="1" bestFit="1" customWidth="1"/>
    <col min="12506" max="12754" width="9.140625" style="1"/>
    <col min="12755" max="12755" width="1.42578125" style="1" customWidth="1"/>
    <col min="12756" max="12756" width="2.140625" style="1" customWidth="1"/>
    <col min="12757" max="12757" width="16.85546875" style="1" customWidth="1"/>
    <col min="12758" max="12758" width="43.42578125" style="1" customWidth="1"/>
    <col min="12759" max="12759" width="22.42578125" style="1" customWidth="1"/>
    <col min="12760" max="12760" width="9.140625" style="1"/>
    <col min="12761" max="12761" width="13.85546875" style="1" bestFit="1" customWidth="1"/>
    <col min="12762" max="13010" width="9.140625" style="1"/>
    <col min="13011" max="13011" width="1.42578125" style="1" customWidth="1"/>
    <col min="13012" max="13012" width="2.140625" style="1" customWidth="1"/>
    <col min="13013" max="13013" width="16.85546875" style="1" customWidth="1"/>
    <col min="13014" max="13014" width="43.42578125" style="1" customWidth="1"/>
    <col min="13015" max="13015" width="22.42578125" style="1" customWidth="1"/>
    <col min="13016" max="13016" width="9.140625" style="1"/>
    <col min="13017" max="13017" width="13.85546875" style="1" bestFit="1" customWidth="1"/>
    <col min="13018" max="13266" width="9.140625" style="1"/>
    <col min="13267" max="13267" width="1.42578125" style="1" customWidth="1"/>
    <col min="13268" max="13268" width="2.140625" style="1" customWidth="1"/>
    <col min="13269" max="13269" width="16.85546875" style="1" customWidth="1"/>
    <col min="13270" max="13270" width="43.42578125" style="1" customWidth="1"/>
    <col min="13271" max="13271" width="22.42578125" style="1" customWidth="1"/>
    <col min="13272" max="13272" width="9.140625" style="1"/>
    <col min="13273" max="13273" width="13.85546875" style="1" bestFit="1" customWidth="1"/>
    <col min="13274" max="13522" width="9.140625" style="1"/>
    <col min="13523" max="13523" width="1.42578125" style="1" customWidth="1"/>
    <col min="13524" max="13524" width="2.140625" style="1" customWidth="1"/>
    <col min="13525" max="13525" width="16.85546875" style="1" customWidth="1"/>
    <col min="13526" max="13526" width="43.42578125" style="1" customWidth="1"/>
    <col min="13527" max="13527" width="22.42578125" style="1" customWidth="1"/>
    <col min="13528" max="13528" width="9.140625" style="1"/>
    <col min="13529" max="13529" width="13.85546875" style="1" bestFit="1" customWidth="1"/>
    <col min="13530" max="13778" width="9.140625" style="1"/>
    <col min="13779" max="13779" width="1.42578125" style="1" customWidth="1"/>
    <col min="13780" max="13780" width="2.140625" style="1" customWidth="1"/>
    <col min="13781" max="13781" width="16.85546875" style="1" customWidth="1"/>
    <col min="13782" max="13782" width="43.42578125" style="1" customWidth="1"/>
    <col min="13783" max="13783" width="22.42578125" style="1" customWidth="1"/>
    <col min="13784" max="13784" width="9.140625" style="1"/>
    <col min="13785" max="13785" width="13.85546875" style="1" bestFit="1" customWidth="1"/>
    <col min="13786" max="14034" width="9.140625" style="1"/>
    <col min="14035" max="14035" width="1.42578125" style="1" customWidth="1"/>
    <col min="14036" max="14036" width="2.140625" style="1" customWidth="1"/>
    <col min="14037" max="14037" width="16.85546875" style="1" customWidth="1"/>
    <col min="14038" max="14038" width="43.42578125" style="1" customWidth="1"/>
    <col min="14039" max="14039" width="22.42578125" style="1" customWidth="1"/>
    <col min="14040" max="14040" width="9.140625" style="1"/>
    <col min="14041" max="14041" width="13.85546875" style="1" bestFit="1" customWidth="1"/>
    <col min="14042" max="14290" width="9.140625" style="1"/>
    <col min="14291" max="14291" width="1.42578125" style="1" customWidth="1"/>
    <col min="14292" max="14292" width="2.140625" style="1" customWidth="1"/>
    <col min="14293" max="14293" width="16.85546875" style="1" customWidth="1"/>
    <col min="14294" max="14294" width="43.42578125" style="1" customWidth="1"/>
    <col min="14295" max="14295" width="22.42578125" style="1" customWidth="1"/>
    <col min="14296" max="14296" width="9.140625" style="1"/>
    <col min="14297" max="14297" width="13.85546875" style="1" bestFit="1" customWidth="1"/>
    <col min="14298" max="14546" width="9.140625" style="1"/>
    <col min="14547" max="14547" width="1.42578125" style="1" customWidth="1"/>
    <col min="14548" max="14548" width="2.140625" style="1" customWidth="1"/>
    <col min="14549" max="14549" width="16.85546875" style="1" customWidth="1"/>
    <col min="14550" max="14550" width="43.42578125" style="1" customWidth="1"/>
    <col min="14551" max="14551" width="22.42578125" style="1" customWidth="1"/>
    <col min="14552" max="14552" width="9.140625" style="1"/>
    <col min="14553" max="14553" width="13.85546875" style="1" bestFit="1" customWidth="1"/>
    <col min="14554" max="14802" width="9.140625" style="1"/>
    <col min="14803" max="14803" width="1.42578125" style="1" customWidth="1"/>
    <col min="14804" max="14804" width="2.140625" style="1" customWidth="1"/>
    <col min="14805" max="14805" width="16.85546875" style="1" customWidth="1"/>
    <col min="14806" max="14806" width="43.42578125" style="1" customWidth="1"/>
    <col min="14807" max="14807" width="22.42578125" style="1" customWidth="1"/>
    <col min="14808" max="14808" width="9.140625" style="1"/>
    <col min="14809" max="14809" width="13.85546875" style="1" bestFit="1" customWidth="1"/>
    <col min="14810" max="15058" width="9.140625" style="1"/>
    <col min="15059" max="15059" width="1.42578125" style="1" customWidth="1"/>
    <col min="15060" max="15060" width="2.140625" style="1" customWidth="1"/>
    <col min="15061" max="15061" width="16.85546875" style="1" customWidth="1"/>
    <col min="15062" max="15062" width="43.42578125" style="1" customWidth="1"/>
    <col min="15063" max="15063" width="22.42578125" style="1" customWidth="1"/>
    <col min="15064" max="15064" width="9.140625" style="1"/>
    <col min="15065" max="15065" width="13.85546875" style="1" bestFit="1" customWidth="1"/>
    <col min="15066" max="15314" width="9.140625" style="1"/>
    <col min="15315" max="15315" width="1.42578125" style="1" customWidth="1"/>
    <col min="15316" max="15316" width="2.140625" style="1" customWidth="1"/>
    <col min="15317" max="15317" width="16.85546875" style="1" customWidth="1"/>
    <col min="15318" max="15318" width="43.42578125" style="1" customWidth="1"/>
    <col min="15319" max="15319" width="22.42578125" style="1" customWidth="1"/>
    <col min="15320" max="15320" width="9.140625" style="1"/>
    <col min="15321" max="15321" width="13.85546875" style="1" bestFit="1" customWidth="1"/>
    <col min="15322" max="15570" width="9.140625" style="1"/>
    <col min="15571" max="15571" width="1.42578125" style="1" customWidth="1"/>
    <col min="15572" max="15572" width="2.140625" style="1" customWidth="1"/>
    <col min="15573" max="15573" width="16.85546875" style="1" customWidth="1"/>
    <col min="15574" max="15574" width="43.42578125" style="1" customWidth="1"/>
    <col min="15575" max="15575" width="22.42578125" style="1" customWidth="1"/>
    <col min="15576" max="15576" width="9.140625" style="1"/>
    <col min="15577" max="15577" width="13.85546875" style="1" bestFit="1" customWidth="1"/>
    <col min="15578" max="15826" width="9.140625" style="1"/>
    <col min="15827" max="15827" width="1.42578125" style="1" customWidth="1"/>
    <col min="15828" max="15828" width="2.140625" style="1" customWidth="1"/>
    <col min="15829" max="15829" width="16.85546875" style="1" customWidth="1"/>
    <col min="15830" max="15830" width="43.42578125" style="1" customWidth="1"/>
    <col min="15831" max="15831" width="22.42578125" style="1" customWidth="1"/>
    <col min="15832" max="15832" width="9.140625" style="1"/>
    <col min="15833" max="15833" width="13.85546875" style="1" bestFit="1" customWidth="1"/>
    <col min="15834" max="16082" width="9.140625" style="1"/>
    <col min="16083" max="16083" width="1.42578125" style="1" customWidth="1"/>
    <col min="16084" max="16084" width="2.140625" style="1" customWidth="1"/>
    <col min="16085" max="16085" width="16.85546875" style="1" customWidth="1"/>
    <col min="16086" max="16086" width="43.42578125" style="1" customWidth="1"/>
    <col min="16087" max="16087" width="22.42578125" style="1" customWidth="1"/>
    <col min="16088" max="16088" width="9.140625" style="1"/>
    <col min="16089" max="16089" width="13.85546875" style="1" bestFit="1" customWidth="1"/>
    <col min="16090" max="16384" width="9.140625" style="1"/>
  </cols>
  <sheetData>
    <row r="2" spans="1:3" x14ac:dyDescent="0.2">
      <c r="C2" s="86" t="s">
        <v>0</v>
      </c>
    </row>
    <row r="3" spans="1:3" x14ac:dyDescent="0.2">
      <c r="A3" s="86"/>
      <c r="B3" s="2"/>
      <c r="C3" s="2"/>
    </row>
    <row r="4" spans="1:3" x14ac:dyDescent="0.2">
      <c r="B4" s="292" t="s">
        <v>1</v>
      </c>
      <c r="C4" s="292"/>
    </row>
    <row r="5" spans="1:3" x14ac:dyDescent="0.2">
      <c r="A5" s="86"/>
      <c r="B5" s="86"/>
      <c r="C5" s="86"/>
    </row>
    <row r="6" spans="1:3" x14ac:dyDescent="0.2">
      <c r="C6" s="85" t="s">
        <v>2</v>
      </c>
    </row>
    <row r="8" spans="1:3" x14ac:dyDescent="0.2">
      <c r="B8" s="293" t="s">
        <v>3</v>
      </c>
      <c r="C8" s="293"/>
    </row>
    <row r="11" spans="1:3" x14ac:dyDescent="0.2">
      <c r="B11" s="86" t="s">
        <v>4</v>
      </c>
    </row>
    <row r="12" spans="1:3" x14ac:dyDescent="0.2">
      <c r="B12" s="84" t="s">
        <v>52</v>
      </c>
    </row>
    <row r="13" spans="1:3" x14ac:dyDescent="0.2">
      <c r="A13" s="85" t="s">
        <v>5</v>
      </c>
      <c r="B13" s="31" t="s">
        <v>55</v>
      </c>
      <c r="C13" s="31"/>
    </row>
    <row r="14" spans="1:3" ht="22.5" x14ac:dyDescent="0.2">
      <c r="A14" s="85" t="s">
        <v>6</v>
      </c>
      <c r="B14" s="31" t="s">
        <v>56</v>
      </c>
      <c r="C14" s="31"/>
    </row>
    <row r="15" spans="1:3" x14ac:dyDescent="0.2">
      <c r="A15" s="85" t="s">
        <v>7</v>
      </c>
      <c r="B15" s="30" t="s">
        <v>177</v>
      </c>
      <c r="C15" s="30"/>
    </row>
    <row r="16" spans="1:3" x14ac:dyDescent="0.2">
      <c r="A16" s="85" t="s">
        <v>8</v>
      </c>
      <c r="B16" s="29" t="s">
        <v>178</v>
      </c>
      <c r="C16" s="29"/>
    </row>
    <row r="17" spans="1:3" ht="12" thickBot="1" x14ac:dyDescent="0.25"/>
    <row r="18" spans="1:3" x14ac:dyDescent="0.2">
      <c r="A18" s="3" t="s">
        <v>9</v>
      </c>
      <c r="B18" s="4" t="s">
        <v>10</v>
      </c>
      <c r="C18" s="5" t="s">
        <v>11</v>
      </c>
    </row>
    <row r="19" spans="1:3" ht="23.25" thickBot="1" x14ac:dyDescent="0.25">
      <c r="A19" s="33">
        <v>1</v>
      </c>
      <c r="B19" s="39" t="s">
        <v>179</v>
      </c>
      <c r="C19" s="6">
        <f>'Kops a'!E31</f>
        <v>0</v>
      </c>
    </row>
    <row r="20" spans="1:3" ht="12" thickBot="1" x14ac:dyDescent="0.25">
      <c r="A20" s="7"/>
      <c r="B20" s="8" t="s">
        <v>12</v>
      </c>
      <c r="C20" s="9">
        <f>SUM(C19:C19)</f>
        <v>0</v>
      </c>
    </row>
    <row r="21" spans="1:3" ht="12" thickBot="1" x14ac:dyDescent="0.25">
      <c r="B21" s="88"/>
      <c r="C21" s="10"/>
    </row>
    <row r="22" spans="1:3" ht="12" thickBot="1" x14ac:dyDescent="0.25">
      <c r="A22" s="294" t="s">
        <v>13</v>
      </c>
      <c r="B22" s="295"/>
      <c r="C22" s="11">
        <f>ROUND(C20*21%,2)</f>
        <v>0</v>
      </c>
    </row>
    <row r="25" spans="1:3" x14ac:dyDescent="0.2">
      <c r="A25" s="1" t="s">
        <v>14</v>
      </c>
      <c r="B25" s="296"/>
      <c r="C25" s="296"/>
    </row>
    <row r="26" spans="1:3" x14ac:dyDescent="0.2">
      <c r="B26" s="291" t="s">
        <v>15</v>
      </c>
      <c r="C26" s="291"/>
    </row>
    <row r="28" spans="1:3" x14ac:dyDescent="0.2">
      <c r="A28" s="1" t="s">
        <v>53</v>
      </c>
      <c r="B28" s="12"/>
      <c r="C28" s="12"/>
    </row>
    <row r="29" spans="1:3" x14ac:dyDescent="0.2">
      <c r="A29" s="12"/>
      <c r="B29" s="12"/>
      <c r="C29" s="12"/>
    </row>
    <row r="30" spans="1:3" x14ac:dyDescent="0.2">
      <c r="A30" s="1" t="s">
        <v>555</v>
      </c>
    </row>
    <row r="32" spans="1:3" x14ac:dyDescent="0.2">
      <c r="A32" s="38" t="s">
        <v>57</v>
      </c>
    </row>
    <row r="33" spans="1:1" x14ac:dyDescent="0.2">
      <c r="A33" s="38" t="s">
        <v>58</v>
      </c>
    </row>
  </sheetData>
  <mergeCells count="5">
    <mergeCell ref="B26:C26"/>
    <mergeCell ref="B4:C4"/>
    <mergeCell ref="B8:C8"/>
    <mergeCell ref="A22:B22"/>
    <mergeCell ref="B25:C25"/>
  </mergeCells>
  <conditionalFormatting sqref="C19:C20 C22">
    <cfRule type="cellIs" dxfId="214" priority="9" operator="equal">
      <formula>0</formula>
    </cfRule>
  </conditionalFormatting>
  <conditionalFormatting sqref="B13:B16">
    <cfRule type="cellIs" dxfId="213" priority="8" operator="equal">
      <formula>0</formula>
    </cfRule>
  </conditionalFormatting>
  <conditionalFormatting sqref="B19">
    <cfRule type="cellIs" dxfId="212" priority="7" operator="equal">
      <formula>0</formula>
    </cfRule>
  </conditionalFormatting>
  <conditionalFormatting sqref="B28">
    <cfRule type="cellIs" dxfId="211" priority="5" operator="equal">
      <formula>0</formula>
    </cfRule>
  </conditionalFormatting>
  <conditionalFormatting sqref="B25:C25">
    <cfRule type="cellIs" dxfId="210" priority="3" operator="equal">
      <formula>0</formula>
    </cfRule>
  </conditionalFormatting>
  <conditionalFormatting sqref="A19">
    <cfRule type="cellIs" dxfId="209" priority="2" operator="equal">
      <formula>0</formula>
    </cfRule>
  </conditionalFormatting>
  <conditionalFormatting sqref="A30">
    <cfRule type="containsText" dxfId="208" priority="1" operator="containsText" text="Tāme sastādīta 20__. gada __. _________">
      <formula>NOT(ISERROR(SEARCH("Tāme sastādīta 20__. gada __. _________",A30)))</formula>
    </cfRule>
  </conditionalFormatting>
  <pageMargins left="0.7" right="0.7" top="0.75" bottom="0.75" header="0.3" footer="0.3"/>
  <pageSetup paperSize="9" fitToHeight="0" orientation="landscape" r:id="rId1"/>
  <headerFooter>
    <oddFooter>&amp;R&amp;P</oddFoot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5757"/>
    <pageSetUpPr fitToPage="1"/>
  </sheetPr>
  <dimension ref="A1:S78"/>
  <sheetViews>
    <sheetView view="pageBreakPreview" topLeftCell="A55" zoomScale="130" zoomScaleNormal="100" zoomScaleSheetLayoutView="130" workbookViewId="0">
      <selection activeCell="C30" sqref="C30"/>
    </sheetView>
  </sheetViews>
  <sheetFormatPr defaultColWidth="9.140625" defaultRowHeight="11.25" x14ac:dyDescent="0.2"/>
  <cols>
    <col min="1" max="1" width="4.5703125" style="174" customWidth="1"/>
    <col min="2" max="2" width="5.28515625" style="174" customWidth="1"/>
    <col min="3" max="3" width="38.42578125" style="174" customWidth="1"/>
    <col min="4" max="4" width="5.85546875" style="174" customWidth="1"/>
    <col min="5" max="5" width="8.7109375" style="174" customWidth="1"/>
    <col min="6" max="6" width="5.42578125" style="174" customWidth="1"/>
    <col min="7" max="7" width="6" style="174" customWidth="1"/>
    <col min="8" max="10" width="6.7109375" style="174" customWidth="1"/>
    <col min="11" max="11" width="7" style="174" customWidth="1"/>
    <col min="12" max="15" width="7.7109375" style="174" customWidth="1"/>
    <col min="16" max="16" width="9" style="174" customWidth="1"/>
    <col min="17" max="16384" width="9.140625" style="174"/>
  </cols>
  <sheetData>
    <row r="1" spans="1:19" x14ac:dyDescent="0.2">
      <c r="A1" s="167"/>
      <c r="B1" s="167"/>
      <c r="C1" s="194" t="s">
        <v>38</v>
      </c>
      <c r="D1" s="195">
        <f>'Kops a'!A21</f>
        <v>7</v>
      </c>
      <c r="E1" s="167"/>
      <c r="F1" s="167"/>
      <c r="G1" s="167"/>
      <c r="H1" s="167"/>
      <c r="I1" s="167"/>
      <c r="J1" s="167"/>
      <c r="N1" s="196"/>
      <c r="O1" s="194"/>
      <c r="P1" s="197"/>
    </row>
    <row r="2" spans="1:19" x14ac:dyDescent="0.2">
      <c r="A2" s="198"/>
      <c r="B2" s="198"/>
      <c r="C2" s="338" t="s">
        <v>148</v>
      </c>
      <c r="D2" s="338"/>
      <c r="E2" s="338"/>
      <c r="F2" s="338"/>
      <c r="G2" s="338"/>
      <c r="H2" s="338"/>
      <c r="I2" s="338"/>
      <c r="J2" s="198"/>
    </row>
    <row r="3" spans="1:19" x14ac:dyDescent="0.2">
      <c r="A3" s="199"/>
      <c r="B3" s="199"/>
      <c r="C3" s="339" t="s">
        <v>17</v>
      </c>
      <c r="D3" s="339"/>
      <c r="E3" s="339"/>
      <c r="F3" s="339"/>
      <c r="G3" s="339"/>
      <c r="H3" s="339"/>
      <c r="I3" s="339"/>
      <c r="J3" s="199"/>
    </row>
    <row r="4" spans="1:19" x14ac:dyDescent="0.2">
      <c r="A4" s="199"/>
      <c r="B4" s="199"/>
      <c r="C4" s="340" t="s">
        <v>52</v>
      </c>
      <c r="D4" s="340"/>
      <c r="E4" s="340"/>
      <c r="F4" s="340"/>
      <c r="G4" s="340"/>
      <c r="H4" s="340"/>
      <c r="I4" s="340"/>
      <c r="J4" s="199"/>
    </row>
    <row r="5" spans="1:19" x14ac:dyDescent="0.2">
      <c r="A5" s="167"/>
      <c r="B5" s="167"/>
      <c r="C5" s="194" t="s">
        <v>5</v>
      </c>
      <c r="D5" s="354" t="str">
        <f>'Kops a'!D6</f>
        <v>Dzīvojamās ēkas vienkāršotā atjaunošana</v>
      </c>
      <c r="E5" s="354"/>
      <c r="F5" s="354"/>
      <c r="G5" s="354"/>
      <c r="H5" s="354"/>
      <c r="I5" s="354"/>
      <c r="J5" s="354"/>
      <c r="K5" s="354"/>
      <c r="L5" s="354"/>
      <c r="M5" s="173"/>
      <c r="N5" s="173"/>
      <c r="O5" s="173"/>
      <c r="P5" s="173"/>
    </row>
    <row r="6" spans="1:19" x14ac:dyDescent="0.2">
      <c r="A6" s="167"/>
      <c r="B6" s="167"/>
      <c r="C6" s="194" t="s">
        <v>6</v>
      </c>
      <c r="D6" s="354" t="str">
        <f>'Kops a'!D7</f>
        <v>Daudzdzīvokļu dzīvojamās ēkas energoefektivitātes paaugstināšanas pasākumi</v>
      </c>
      <c r="E6" s="354"/>
      <c r="F6" s="354"/>
      <c r="G6" s="354"/>
      <c r="H6" s="354"/>
      <c r="I6" s="354"/>
      <c r="J6" s="354"/>
      <c r="K6" s="354"/>
      <c r="L6" s="354"/>
      <c r="M6" s="173"/>
      <c r="N6" s="173"/>
      <c r="O6" s="173"/>
      <c r="P6" s="173"/>
    </row>
    <row r="7" spans="1:19" x14ac:dyDescent="0.2">
      <c r="A7" s="167"/>
      <c r="B7" s="167"/>
      <c r="C7" s="194" t="s">
        <v>7</v>
      </c>
      <c r="D7" s="354" t="str">
        <f>'Kops a'!D8</f>
        <v>Dzērves iela 23, Liepāja</v>
      </c>
      <c r="E7" s="354"/>
      <c r="F7" s="354"/>
      <c r="G7" s="354"/>
      <c r="H7" s="354"/>
      <c r="I7" s="354"/>
      <c r="J7" s="354"/>
      <c r="K7" s="354"/>
      <c r="L7" s="354"/>
      <c r="M7" s="173"/>
      <c r="N7" s="173"/>
      <c r="O7" s="173"/>
      <c r="P7" s="173"/>
    </row>
    <row r="8" spans="1:19" x14ac:dyDescent="0.2">
      <c r="A8" s="167"/>
      <c r="B8" s="167"/>
      <c r="C8" s="200" t="s">
        <v>20</v>
      </c>
      <c r="D8" s="354" t="str">
        <f>'Kops a'!D9</f>
        <v>EA-14-17/WOOS</v>
      </c>
      <c r="E8" s="354"/>
      <c r="F8" s="354"/>
      <c r="G8" s="354"/>
      <c r="H8" s="354"/>
      <c r="I8" s="354"/>
      <c r="J8" s="354"/>
      <c r="K8" s="354"/>
      <c r="L8" s="354"/>
      <c r="M8" s="173"/>
      <c r="N8" s="173"/>
      <c r="O8" s="173"/>
      <c r="P8" s="173"/>
    </row>
    <row r="9" spans="1:19" x14ac:dyDescent="0.2">
      <c r="A9" s="341" t="s">
        <v>556</v>
      </c>
      <c r="B9" s="341"/>
      <c r="C9" s="341"/>
      <c r="D9" s="341"/>
      <c r="E9" s="341"/>
      <c r="F9" s="341"/>
      <c r="G9" s="175"/>
      <c r="H9" s="175"/>
      <c r="I9" s="175"/>
      <c r="J9" s="345" t="s">
        <v>39</v>
      </c>
      <c r="K9" s="345"/>
      <c r="L9" s="345"/>
      <c r="M9" s="345"/>
      <c r="N9" s="353">
        <f>P63</f>
        <v>0</v>
      </c>
      <c r="O9" s="353"/>
      <c r="P9" s="175"/>
    </row>
    <row r="10" spans="1:19" x14ac:dyDescent="0.2">
      <c r="A10" s="201"/>
      <c r="B10" s="202"/>
      <c r="C10" s="200"/>
      <c r="D10" s="167"/>
      <c r="E10" s="167"/>
      <c r="F10" s="167"/>
      <c r="G10" s="167"/>
      <c r="H10" s="167"/>
      <c r="I10" s="167"/>
      <c r="J10" s="167"/>
      <c r="K10" s="167"/>
      <c r="L10" s="198"/>
      <c r="M10" s="198"/>
      <c r="O10" s="237"/>
      <c r="P10" s="204" t="str">
        <f>A69</f>
        <v>Tāme sastādīta 2021. gada</v>
      </c>
    </row>
    <row r="11" spans="1:19" ht="12" thickBot="1" x14ac:dyDescent="0.25">
      <c r="A11" s="201"/>
      <c r="B11" s="202"/>
      <c r="C11" s="200"/>
      <c r="D11" s="167"/>
      <c r="E11" s="167"/>
      <c r="F11" s="167"/>
      <c r="G11" s="167"/>
      <c r="H11" s="167"/>
      <c r="I11" s="167"/>
      <c r="J11" s="167"/>
      <c r="K11" s="167"/>
      <c r="L11" s="205"/>
      <c r="M11" s="205"/>
      <c r="N11" s="206"/>
      <c r="O11" s="196"/>
      <c r="P11" s="167"/>
    </row>
    <row r="12" spans="1:19" x14ac:dyDescent="0.2">
      <c r="A12" s="346" t="s">
        <v>23</v>
      </c>
      <c r="B12" s="348" t="s">
        <v>40</v>
      </c>
      <c r="C12" s="343" t="s">
        <v>41</v>
      </c>
      <c r="D12" s="351" t="s">
        <v>42</v>
      </c>
      <c r="E12" s="355" t="s">
        <v>43</v>
      </c>
      <c r="F12" s="342" t="s">
        <v>44</v>
      </c>
      <c r="G12" s="343"/>
      <c r="H12" s="343"/>
      <c r="I12" s="343"/>
      <c r="J12" s="343"/>
      <c r="K12" s="344"/>
      <c r="L12" s="342" t="s">
        <v>45</v>
      </c>
      <c r="M12" s="343"/>
      <c r="N12" s="343"/>
      <c r="O12" s="343"/>
      <c r="P12" s="344"/>
    </row>
    <row r="13" spans="1:19" ht="66.75" thickBot="1" x14ac:dyDescent="0.25">
      <c r="A13" s="347"/>
      <c r="B13" s="349"/>
      <c r="C13" s="350"/>
      <c r="D13" s="352"/>
      <c r="E13" s="356"/>
      <c r="F13" s="207" t="s">
        <v>46</v>
      </c>
      <c r="G13" s="208" t="s">
        <v>47</v>
      </c>
      <c r="H13" s="208" t="s">
        <v>48</v>
      </c>
      <c r="I13" s="208" t="s">
        <v>49</v>
      </c>
      <c r="J13" s="208" t="s">
        <v>50</v>
      </c>
      <c r="K13" s="209" t="s">
        <v>51</v>
      </c>
      <c r="L13" s="207" t="s">
        <v>46</v>
      </c>
      <c r="M13" s="208" t="s">
        <v>48</v>
      </c>
      <c r="N13" s="208" t="s">
        <v>49</v>
      </c>
      <c r="O13" s="208" t="s">
        <v>50</v>
      </c>
      <c r="P13" s="209" t="s">
        <v>51</v>
      </c>
    </row>
    <row r="14" spans="1:19" x14ac:dyDescent="0.2">
      <c r="A14" s="275"/>
      <c r="B14" s="275"/>
      <c r="C14" s="276"/>
      <c r="D14" s="180"/>
      <c r="E14" s="180"/>
      <c r="F14" s="223"/>
      <c r="G14" s="261"/>
      <c r="H14" s="262"/>
      <c r="I14" s="223"/>
      <c r="J14" s="223"/>
      <c r="K14" s="264"/>
      <c r="L14" s="265"/>
      <c r="M14" s="265"/>
      <c r="N14" s="265"/>
      <c r="O14" s="265"/>
      <c r="P14" s="265"/>
    </row>
    <row r="15" spans="1:19" ht="22.5" x14ac:dyDescent="0.2">
      <c r="A15" s="178" t="str">
        <f>IF(COUNTBLANK(B15)=1," ",COUNTA($B$15:B15))</f>
        <v xml:space="preserve"> </v>
      </c>
      <c r="B15" s="153"/>
      <c r="C15" s="277" t="s">
        <v>283</v>
      </c>
      <c r="D15" s="168"/>
      <c r="E15" s="168"/>
      <c r="F15" s="95"/>
      <c r="G15" s="98"/>
      <c r="H15" s="99"/>
      <c r="I15" s="99"/>
      <c r="J15" s="95"/>
      <c r="K15" s="268"/>
      <c r="L15" s="269"/>
      <c r="M15" s="269"/>
      <c r="N15" s="269"/>
      <c r="O15" s="269"/>
      <c r="P15" s="269"/>
    </row>
    <row r="16" spans="1:19" ht="33.75" customHeight="1" x14ac:dyDescent="0.2">
      <c r="A16" s="178">
        <f>IF(COUNTBLANK(B16)=1," ",COUNTA($B$15:B16))</f>
        <v>1</v>
      </c>
      <c r="B16" s="153" t="s">
        <v>93</v>
      </c>
      <c r="C16" s="272" t="s">
        <v>284</v>
      </c>
      <c r="D16" s="168" t="s">
        <v>100</v>
      </c>
      <c r="E16" s="176">
        <f>149.4+14.1</f>
        <v>163.5</v>
      </c>
      <c r="F16" s="95"/>
      <c r="G16" s="98"/>
      <c r="H16" s="99"/>
      <c r="I16" s="99"/>
      <c r="J16" s="95"/>
      <c r="K16" s="268"/>
      <c r="L16" s="269"/>
      <c r="M16" s="269"/>
      <c r="N16" s="269"/>
      <c r="O16" s="269"/>
      <c r="P16" s="269"/>
      <c r="Q16" s="175"/>
      <c r="R16" s="175"/>
      <c r="S16" s="175"/>
    </row>
    <row r="17" spans="1:19" ht="33.75" x14ac:dyDescent="0.2">
      <c r="A17" s="178">
        <f>IF(COUNTBLANK(B17)=1," ",COUNTA($B$15:B17))</f>
        <v>2</v>
      </c>
      <c r="B17" s="153" t="s">
        <v>93</v>
      </c>
      <c r="C17" s="272" t="s">
        <v>285</v>
      </c>
      <c r="D17" s="168" t="s">
        <v>100</v>
      </c>
      <c r="E17" s="178">
        <f>0.3*296.3</f>
        <v>88.89</v>
      </c>
      <c r="F17" s="95"/>
      <c r="G17" s="98"/>
      <c r="H17" s="99"/>
      <c r="I17" s="99"/>
      <c r="J17" s="95"/>
      <c r="K17" s="268"/>
      <c r="L17" s="269"/>
      <c r="M17" s="269"/>
      <c r="N17" s="269"/>
      <c r="O17" s="269"/>
      <c r="P17" s="269"/>
      <c r="Q17" s="175"/>
      <c r="R17" s="175"/>
      <c r="S17" s="175"/>
    </row>
    <row r="18" spans="1:19" ht="33.75" x14ac:dyDescent="0.2">
      <c r="A18" s="178">
        <f>IF(COUNTBLANK(B18)=1," ",COUNTA($B$15:B18))</f>
        <v>3</v>
      </c>
      <c r="B18" s="153" t="s">
        <v>93</v>
      </c>
      <c r="C18" s="272" t="s">
        <v>286</v>
      </c>
      <c r="D18" s="168" t="s">
        <v>100</v>
      </c>
      <c r="E18" s="178">
        <f>0.55*136.2+0.25*27</f>
        <v>81.66</v>
      </c>
      <c r="F18" s="95"/>
      <c r="G18" s="98"/>
      <c r="H18" s="99"/>
      <c r="I18" s="99"/>
      <c r="J18" s="95"/>
      <c r="K18" s="268"/>
      <c r="L18" s="269"/>
      <c r="M18" s="269"/>
      <c r="N18" s="269"/>
      <c r="O18" s="269"/>
      <c r="P18" s="269"/>
      <c r="Q18" s="175"/>
      <c r="R18" s="175"/>
      <c r="S18" s="175"/>
    </row>
    <row r="19" spans="1:19" ht="45" x14ac:dyDescent="0.2">
      <c r="A19" s="178">
        <f>IF(COUNTBLANK(B19)=1," ",COUNTA($B$15:B19))</f>
        <v>4</v>
      </c>
      <c r="B19" s="153" t="s">
        <v>93</v>
      </c>
      <c r="C19" s="277" t="s">
        <v>552</v>
      </c>
      <c r="D19" s="168" t="s">
        <v>97</v>
      </c>
      <c r="E19" s="168">
        <v>3</v>
      </c>
      <c r="F19" s="95"/>
      <c r="G19" s="98"/>
      <c r="H19" s="99"/>
      <c r="I19" s="99"/>
      <c r="J19" s="95"/>
      <c r="K19" s="268"/>
      <c r="L19" s="269"/>
      <c r="M19" s="269"/>
      <c r="N19" s="269"/>
      <c r="O19" s="269"/>
      <c r="P19" s="269"/>
      <c r="Q19" s="175"/>
      <c r="R19" s="175"/>
      <c r="S19" s="175"/>
    </row>
    <row r="20" spans="1:19" ht="22.5" x14ac:dyDescent="0.2">
      <c r="A20" s="178">
        <f>IF(COUNTBLANK(B20)=1," ",COUNTA($B$15:B20))</f>
        <v>5</v>
      </c>
      <c r="B20" s="153" t="s">
        <v>93</v>
      </c>
      <c r="C20" s="272" t="s">
        <v>287</v>
      </c>
      <c r="D20" s="168" t="s">
        <v>100</v>
      </c>
      <c r="E20" s="176">
        <f>0.2*5.34*3</f>
        <v>3.2040000000000002</v>
      </c>
      <c r="F20" s="95"/>
      <c r="G20" s="98"/>
      <c r="H20" s="99"/>
      <c r="I20" s="99"/>
      <c r="J20" s="95"/>
      <c r="K20" s="268"/>
      <c r="L20" s="269"/>
      <c r="M20" s="269"/>
      <c r="N20" s="269"/>
      <c r="O20" s="269"/>
      <c r="P20" s="269"/>
    </row>
    <row r="21" spans="1:19" ht="22.5" x14ac:dyDescent="0.2">
      <c r="A21" s="178">
        <f>IF(COUNTBLANK(B21)=1," ",COUNTA($B$15:B21))</f>
        <v>6</v>
      </c>
      <c r="B21" s="153" t="s">
        <v>93</v>
      </c>
      <c r="C21" s="272" t="s">
        <v>481</v>
      </c>
      <c r="D21" s="168" t="s">
        <v>120</v>
      </c>
      <c r="E21" s="177">
        <f>0.35*3</f>
        <v>1.0499999999999998</v>
      </c>
      <c r="F21" s="95"/>
      <c r="G21" s="98"/>
      <c r="H21" s="99"/>
      <c r="I21" s="99"/>
      <c r="J21" s="95"/>
      <c r="K21" s="268"/>
      <c r="L21" s="269"/>
      <c r="M21" s="269"/>
      <c r="N21" s="269"/>
      <c r="O21" s="269"/>
      <c r="P21" s="269"/>
    </row>
    <row r="22" spans="1:19" ht="22.5" x14ac:dyDescent="0.2">
      <c r="A22" s="178">
        <f>IF(COUNTBLANK(B22)=1," ",COUNTA($B$15:B22))</f>
        <v>7</v>
      </c>
      <c r="B22" s="153" t="s">
        <v>93</v>
      </c>
      <c r="C22" s="272" t="s">
        <v>288</v>
      </c>
      <c r="D22" s="168" t="s">
        <v>97</v>
      </c>
      <c r="E22" s="178">
        <f>9*3</f>
        <v>27</v>
      </c>
      <c r="F22" s="95"/>
      <c r="G22" s="98"/>
      <c r="H22" s="99"/>
      <c r="I22" s="99"/>
      <c r="J22" s="95"/>
      <c r="K22" s="268"/>
      <c r="L22" s="269"/>
      <c r="M22" s="269"/>
      <c r="N22" s="269"/>
      <c r="O22" s="269"/>
      <c r="P22" s="269"/>
    </row>
    <row r="23" spans="1:19" ht="22.5" x14ac:dyDescent="0.2">
      <c r="A23" s="178">
        <f>IF(COUNTBLANK(B23)=1," ",COUNTA($B$15:B23))</f>
        <v>8</v>
      </c>
      <c r="B23" s="153" t="s">
        <v>93</v>
      </c>
      <c r="C23" s="272" t="s">
        <v>289</v>
      </c>
      <c r="D23" s="168" t="s">
        <v>97</v>
      </c>
      <c r="E23" s="178">
        <f>2*27</f>
        <v>54</v>
      </c>
      <c r="F23" s="95"/>
      <c r="G23" s="98"/>
      <c r="H23" s="99"/>
      <c r="I23" s="99"/>
      <c r="J23" s="95"/>
      <c r="K23" s="268"/>
      <c r="L23" s="269"/>
      <c r="M23" s="269"/>
      <c r="N23" s="269"/>
      <c r="O23" s="269"/>
      <c r="P23" s="269"/>
    </row>
    <row r="24" spans="1:19" ht="22.5" x14ac:dyDescent="0.2">
      <c r="A24" s="178">
        <f>IF(COUNTBLANK(B24)=1," ",COUNTA($B$15:B24))</f>
        <v>9</v>
      </c>
      <c r="B24" s="153" t="s">
        <v>93</v>
      </c>
      <c r="C24" s="272" t="s">
        <v>290</v>
      </c>
      <c r="D24" s="168" t="s">
        <v>120</v>
      </c>
      <c r="E24" s="177">
        <f>0.066*3</f>
        <v>0.19800000000000001</v>
      </c>
      <c r="F24" s="95"/>
      <c r="G24" s="98"/>
      <c r="H24" s="99"/>
      <c r="I24" s="99"/>
      <c r="J24" s="95"/>
      <c r="K24" s="268"/>
      <c r="L24" s="269"/>
      <c r="M24" s="269"/>
      <c r="N24" s="269"/>
      <c r="O24" s="269"/>
      <c r="P24" s="269"/>
    </row>
    <row r="25" spans="1:19" x14ac:dyDescent="0.2">
      <c r="A25" s="178">
        <f>IF(COUNTBLANK(B25)=1," ",COUNTA($B$15:B25))</f>
        <v>10</v>
      </c>
      <c r="B25" s="153" t="s">
        <v>93</v>
      </c>
      <c r="C25" s="272" t="s">
        <v>482</v>
      </c>
      <c r="D25" s="168" t="s">
        <v>100</v>
      </c>
      <c r="E25" s="177">
        <f>3.2*3</f>
        <v>9.6000000000000014</v>
      </c>
      <c r="F25" s="95"/>
      <c r="G25" s="98"/>
      <c r="H25" s="99"/>
      <c r="I25" s="99"/>
      <c r="J25" s="95"/>
      <c r="K25" s="268"/>
      <c r="L25" s="269"/>
      <c r="M25" s="269"/>
      <c r="N25" s="269"/>
      <c r="O25" s="269"/>
      <c r="P25" s="269"/>
    </row>
    <row r="26" spans="1:19" ht="31.35" customHeight="1" x14ac:dyDescent="0.2">
      <c r="A26" s="178">
        <f>IF(COUNTBLANK(B26)=1," ",COUNTA($B$15:B26))</f>
        <v>11</v>
      </c>
      <c r="B26" s="153" t="s">
        <v>93</v>
      </c>
      <c r="C26" s="61" t="s">
        <v>553</v>
      </c>
      <c r="D26" s="59" t="s">
        <v>120</v>
      </c>
      <c r="E26" s="75">
        <f>0.63*3</f>
        <v>1.8900000000000001</v>
      </c>
      <c r="F26" s="95"/>
      <c r="G26" s="98"/>
      <c r="H26" s="99"/>
      <c r="I26" s="99"/>
      <c r="J26" s="95"/>
      <c r="K26" s="268"/>
      <c r="L26" s="269"/>
      <c r="M26" s="269"/>
      <c r="N26" s="269"/>
      <c r="O26" s="269"/>
      <c r="P26" s="269"/>
    </row>
    <row r="27" spans="1:19" ht="31.35" customHeight="1" x14ac:dyDescent="0.2">
      <c r="A27" s="178">
        <f>IF(COUNTBLANK(B27)=1," ",COUNTA($B$15:B27))</f>
        <v>12</v>
      </c>
      <c r="B27" s="153" t="s">
        <v>93</v>
      </c>
      <c r="C27" s="61" t="s">
        <v>563</v>
      </c>
      <c r="D27" s="59" t="s">
        <v>120</v>
      </c>
      <c r="E27" s="75">
        <f>0.113*3</f>
        <v>0.33900000000000002</v>
      </c>
      <c r="F27" s="95"/>
      <c r="G27" s="98"/>
      <c r="H27" s="99"/>
      <c r="I27" s="99"/>
      <c r="J27" s="95"/>
      <c r="K27" s="268"/>
      <c r="L27" s="269"/>
      <c r="M27" s="269"/>
      <c r="N27" s="269"/>
      <c r="O27" s="269"/>
      <c r="P27" s="269"/>
    </row>
    <row r="28" spans="1:19" ht="31.35" customHeight="1" x14ac:dyDescent="0.2">
      <c r="A28" s="178">
        <f>IF(COUNTBLANK(B28)=1," ",COUNTA($B$15:B28))</f>
        <v>13</v>
      </c>
      <c r="B28" s="153" t="s">
        <v>93</v>
      </c>
      <c r="C28" s="61" t="s">
        <v>564</v>
      </c>
      <c r="D28" s="59" t="s">
        <v>120</v>
      </c>
      <c r="E28" s="75">
        <f>0.03*3</f>
        <v>0.09</v>
      </c>
      <c r="F28" s="95"/>
      <c r="G28" s="98"/>
      <c r="H28" s="99"/>
      <c r="I28" s="99"/>
      <c r="J28" s="95"/>
      <c r="K28" s="268"/>
      <c r="L28" s="269"/>
      <c r="M28" s="269"/>
      <c r="N28" s="269"/>
      <c r="O28" s="269"/>
      <c r="P28" s="269"/>
    </row>
    <row r="29" spans="1:19" ht="22.5" x14ac:dyDescent="0.2">
      <c r="A29" s="178">
        <f>IF(COUNTBLANK(B29)=1," ",COUNTA($B$15:B29))</f>
        <v>14</v>
      </c>
      <c r="B29" s="153" t="s">
        <v>93</v>
      </c>
      <c r="C29" s="272" t="s">
        <v>291</v>
      </c>
      <c r="D29" s="168" t="s">
        <v>95</v>
      </c>
      <c r="E29" s="176">
        <f>2.4*3</f>
        <v>7.1999999999999993</v>
      </c>
      <c r="F29" s="95"/>
      <c r="G29" s="98"/>
      <c r="H29" s="99"/>
      <c r="I29" s="99"/>
      <c r="J29" s="95"/>
      <c r="K29" s="268"/>
      <c r="L29" s="269"/>
      <c r="M29" s="269"/>
      <c r="N29" s="269"/>
      <c r="O29" s="269"/>
      <c r="P29" s="269"/>
    </row>
    <row r="30" spans="1:19" ht="22.5" x14ac:dyDescent="0.2">
      <c r="A30" s="178">
        <f>IF(COUNTBLANK(B30)=1," ",COUNTA($B$15:B30))</f>
        <v>15</v>
      </c>
      <c r="B30" s="153" t="s">
        <v>93</v>
      </c>
      <c r="C30" s="272" t="s">
        <v>483</v>
      </c>
      <c r="D30" s="168" t="s">
        <v>100</v>
      </c>
      <c r="E30" s="176">
        <f>7*3</f>
        <v>21</v>
      </c>
      <c r="F30" s="95"/>
      <c r="G30" s="98"/>
      <c r="H30" s="99"/>
      <c r="I30" s="99"/>
      <c r="J30" s="95"/>
      <c r="K30" s="268"/>
      <c r="L30" s="269"/>
      <c r="M30" s="269"/>
      <c r="N30" s="269"/>
      <c r="O30" s="269"/>
      <c r="P30" s="269"/>
    </row>
    <row r="31" spans="1:19" ht="22.5" x14ac:dyDescent="0.2">
      <c r="A31" s="178">
        <f>IF(COUNTBLANK(B31)=1," ",COUNTA($B$15:B31))</f>
        <v>16</v>
      </c>
      <c r="B31" s="153" t="s">
        <v>93</v>
      </c>
      <c r="C31" s="272" t="s">
        <v>484</v>
      </c>
      <c r="D31" s="168" t="s">
        <v>100</v>
      </c>
      <c r="E31" s="176">
        <f>7*3</f>
        <v>21</v>
      </c>
      <c r="F31" s="95"/>
      <c r="G31" s="98"/>
      <c r="H31" s="99"/>
      <c r="I31" s="99"/>
      <c r="J31" s="95"/>
      <c r="K31" s="268"/>
      <c r="L31" s="269"/>
      <c r="M31" s="269"/>
      <c r="N31" s="269"/>
      <c r="O31" s="269"/>
      <c r="P31" s="269"/>
    </row>
    <row r="32" spans="1:19" x14ac:dyDescent="0.2">
      <c r="A32" s="178" t="str">
        <f>IF(COUNTBLANK(B32)=1," ",COUNTA($B$15:B32))</f>
        <v xml:space="preserve"> </v>
      </c>
      <c r="B32" s="153"/>
      <c r="C32" s="272" t="s">
        <v>292</v>
      </c>
      <c r="D32" s="168"/>
      <c r="E32" s="176"/>
      <c r="F32" s="95"/>
      <c r="G32" s="98"/>
      <c r="H32" s="99"/>
      <c r="I32" s="99"/>
      <c r="J32" s="95"/>
      <c r="K32" s="268"/>
      <c r="L32" s="269"/>
      <c r="M32" s="269"/>
      <c r="N32" s="269"/>
      <c r="O32" s="269"/>
      <c r="P32" s="269"/>
    </row>
    <row r="33" spans="1:16" ht="22.5" x14ac:dyDescent="0.2">
      <c r="A33" s="178">
        <f>IF(COUNTBLANK(B33)=1," ",COUNTA($B$15:B33))</f>
        <v>17</v>
      </c>
      <c r="B33" s="153" t="s">
        <v>93</v>
      </c>
      <c r="C33" s="272" t="s">
        <v>293</v>
      </c>
      <c r="D33" s="168" t="s">
        <v>100</v>
      </c>
      <c r="E33" s="176">
        <f>2.5*3</f>
        <v>7.5</v>
      </c>
      <c r="F33" s="95"/>
      <c r="G33" s="98"/>
      <c r="H33" s="99"/>
      <c r="I33" s="99"/>
      <c r="J33" s="95"/>
      <c r="K33" s="268"/>
      <c r="L33" s="269"/>
      <c r="M33" s="269"/>
      <c r="N33" s="269"/>
      <c r="O33" s="269"/>
      <c r="P33" s="269"/>
    </row>
    <row r="34" spans="1:16" ht="22.5" x14ac:dyDescent="0.2">
      <c r="A34" s="178">
        <f>IF(COUNTBLANK(B34)=1," ",COUNTA($B$15:B34))</f>
        <v>18</v>
      </c>
      <c r="B34" s="153" t="s">
        <v>93</v>
      </c>
      <c r="C34" s="272" t="s">
        <v>294</v>
      </c>
      <c r="D34" s="168" t="s">
        <v>107</v>
      </c>
      <c r="E34" s="176">
        <f>0.004*0.04*0.45*6*3*7800</f>
        <v>10.108799999999999</v>
      </c>
      <c r="F34" s="95"/>
      <c r="G34" s="98"/>
      <c r="H34" s="99"/>
      <c r="I34" s="99"/>
      <c r="J34" s="95"/>
      <c r="K34" s="268"/>
      <c r="L34" s="269"/>
      <c r="M34" s="269"/>
      <c r="N34" s="269"/>
      <c r="O34" s="269"/>
      <c r="P34" s="269"/>
    </row>
    <row r="35" spans="1:16" x14ac:dyDescent="0.2">
      <c r="A35" s="178">
        <f>IF(COUNTBLANK(B35)=1," ",COUNTA($B$15:B35))</f>
        <v>19</v>
      </c>
      <c r="B35" s="153" t="s">
        <v>93</v>
      </c>
      <c r="C35" s="272" t="s">
        <v>295</v>
      </c>
      <c r="D35" s="168" t="s">
        <v>100</v>
      </c>
      <c r="E35" s="176">
        <v>1</v>
      </c>
      <c r="F35" s="95"/>
      <c r="G35" s="98"/>
      <c r="H35" s="99"/>
      <c r="I35" s="99"/>
      <c r="J35" s="95"/>
      <c r="K35" s="268"/>
      <c r="L35" s="269"/>
      <c r="M35" s="269"/>
      <c r="N35" s="269"/>
      <c r="O35" s="269"/>
      <c r="P35" s="269"/>
    </row>
    <row r="36" spans="1:16" x14ac:dyDescent="0.2">
      <c r="A36" s="178">
        <f>IF(COUNTBLANK(B36)=1," ",COUNTA($B$15:B36))</f>
        <v>20</v>
      </c>
      <c r="B36" s="153" t="s">
        <v>93</v>
      </c>
      <c r="C36" s="272" t="s">
        <v>296</v>
      </c>
      <c r="D36" s="168" t="s">
        <v>97</v>
      </c>
      <c r="E36" s="178">
        <v>36</v>
      </c>
      <c r="F36" s="95"/>
      <c r="G36" s="98"/>
      <c r="H36" s="99"/>
      <c r="I36" s="99"/>
      <c r="J36" s="95"/>
      <c r="K36" s="268"/>
      <c r="L36" s="269"/>
      <c r="M36" s="269"/>
      <c r="N36" s="269"/>
      <c r="O36" s="269"/>
      <c r="P36" s="269"/>
    </row>
    <row r="37" spans="1:16" ht="22.5" x14ac:dyDescent="0.2">
      <c r="A37" s="178">
        <f>IF(COUNTBLANK(B37)=1," ",COUNTA($B$15:B37))</f>
        <v>21</v>
      </c>
      <c r="B37" s="153" t="s">
        <v>93</v>
      </c>
      <c r="C37" s="272" t="s">
        <v>297</v>
      </c>
      <c r="D37" s="168" t="s">
        <v>100</v>
      </c>
      <c r="E37" s="176">
        <f>0.5*3.41*3</f>
        <v>5.1150000000000002</v>
      </c>
      <c r="F37" s="95"/>
      <c r="G37" s="98"/>
      <c r="H37" s="99"/>
      <c r="I37" s="99"/>
      <c r="J37" s="95"/>
      <c r="K37" s="268"/>
      <c r="L37" s="269"/>
      <c r="M37" s="269"/>
      <c r="N37" s="269"/>
      <c r="O37" s="269"/>
      <c r="P37" s="269"/>
    </row>
    <row r="38" spans="1:16" ht="22.5" x14ac:dyDescent="0.2">
      <c r="A38" s="178" t="str">
        <f>IF(COUNTBLANK(B38)=1," ",COUNTA($B$15:B38))</f>
        <v xml:space="preserve"> </v>
      </c>
      <c r="B38" s="153"/>
      <c r="C38" s="272" t="s">
        <v>298</v>
      </c>
      <c r="D38" s="168"/>
      <c r="E38" s="176"/>
      <c r="F38" s="95"/>
      <c r="G38" s="98"/>
      <c r="H38" s="99"/>
      <c r="I38" s="99"/>
      <c r="J38" s="95"/>
      <c r="K38" s="268"/>
      <c r="L38" s="269"/>
      <c r="M38" s="269"/>
      <c r="N38" s="269"/>
      <c r="O38" s="269"/>
      <c r="P38" s="269"/>
    </row>
    <row r="39" spans="1:16" ht="22.5" x14ac:dyDescent="0.2">
      <c r="A39" s="178">
        <f>IF(COUNTBLANK(B39)=1," ",COUNTA($B$15:B39))</f>
        <v>22</v>
      </c>
      <c r="B39" s="153" t="s">
        <v>93</v>
      </c>
      <c r="C39" s="272" t="s">
        <v>485</v>
      </c>
      <c r="D39" s="168" t="s">
        <v>120</v>
      </c>
      <c r="E39" s="177">
        <f>0.03*0.3*3.64*3</f>
        <v>9.8279999999999992E-2</v>
      </c>
      <c r="F39" s="95"/>
      <c r="G39" s="98"/>
      <c r="H39" s="99"/>
      <c r="I39" s="99"/>
      <c r="J39" s="95"/>
      <c r="K39" s="268"/>
      <c r="L39" s="269"/>
      <c r="M39" s="269"/>
      <c r="N39" s="269"/>
      <c r="O39" s="269"/>
      <c r="P39" s="269"/>
    </row>
    <row r="40" spans="1:16" x14ac:dyDescent="0.2">
      <c r="A40" s="178">
        <f>IF(COUNTBLANK(B40)=1," ",COUNTA($B$15:B40))</f>
        <v>23</v>
      </c>
      <c r="B40" s="153" t="s">
        <v>93</v>
      </c>
      <c r="C40" s="272" t="s">
        <v>486</v>
      </c>
      <c r="D40" s="168" t="s">
        <v>95</v>
      </c>
      <c r="E40" s="176">
        <f>3.64*3</f>
        <v>10.92</v>
      </c>
      <c r="F40" s="95"/>
      <c r="G40" s="98"/>
      <c r="H40" s="99"/>
      <c r="I40" s="99"/>
      <c r="J40" s="95"/>
      <c r="K40" s="268"/>
      <c r="L40" s="269"/>
      <c r="M40" s="269"/>
      <c r="N40" s="269"/>
      <c r="O40" s="269"/>
      <c r="P40" s="269"/>
    </row>
    <row r="41" spans="1:16" ht="22.5" x14ac:dyDescent="0.2">
      <c r="A41" s="178">
        <f>IF(COUNTBLANK(B41)=1," ",COUNTA($B$15:B41))</f>
        <v>24</v>
      </c>
      <c r="B41" s="153" t="s">
        <v>93</v>
      </c>
      <c r="C41" s="272" t="s">
        <v>299</v>
      </c>
      <c r="D41" s="168" t="s">
        <v>100</v>
      </c>
      <c r="E41" s="176">
        <f>1.05*3.64*3</f>
        <v>11.466000000000001</v>
      </c>
      <c r="F41" s="95"/>
      <c r="G41" s="98"/>
      <c r="H41" s="99"/>
      <c r="I41" s="99"/>
      <c r="J41" s="95"/>
      <c r="K41" s="268"/>
      <c r="L41" s="269"/>
      <c r="M41" s="269"/>
      <c r="N41" s="269"/>
      <c r="O41" s="269"/>
      <c r="P41" s="269"/>
    </row>
    <row r="42" spans="1:16" ht="22.5" x14ac:dyDescent="0.2">
      <c r="A42" s="178">
        <f>IF(COUNTBLANK(B42)=1," ",COUNTA($B$15:B42))</f>
        <v>25</v>
      </c>
      <c r="B42" s="153" t="s">
        <v>93</v>
      </c>
      <c r="C42" s="272" t="s">
        <v>300</v>
      </c>
      <c r="D42" s="168" t="s">
        <v>95</v>
      </c>
      <c r="E42" s="176">
        <f>3.64*3</f>
        <v>10.92</v>
      </c>
      <c r="F42" s="95"/>
      <c r="G42" s="98"/>
      <c r="H42" s="99"/>
      <c r="I42" s="99"/>
      <c r="J42" s="95"/>
      <c r="K42" s="268"/>
      <c r="L42" s="269"/>
      <c r="M42" s="269"/>
      <c r="N42" s="269"/>
      <c r="O42" s="269"/>
      <c r="P42" s="269"/>
    </row>
    <row r="43" spans="1:16" ht="22.5" x14ac:dyDescent="0.2">
      <c r="A43" s="178">
        <f>IF(COUNTBLANK(B43)=1," ",COUNTA($B$15:B43))</f>
        <v>26</v>
      </c>
      <c r="B43" s="153" t="s">
        <v>93</v>
      </c>
      <c r="C43" s="272" t="s">
        <v>301</v>
      </c>
      <c r="D43" s="168" t="s">
        <v>95</v>
      </c>
      <c r="E43" s="176">
        <f>3.64*3</f>
        <v>10.92</v>
      </c>
      <c r="F43" s="95"/>
      <c r="G43" s="98"/>
      <c r="H43" s="99"/>
      <c r="I43" s="99"/>
      <c r="J43" s="95"/>
      <c r="K43" s="268"/>
      <c r="L43" s="269"/>
      <c r="M43" s="269"/>
      <c r="N43" s="269"/>
      <c r="O43" s="269"/>
      <c r="P43" s="269"/>
    </row>
    <row r="44" spans="1:16" x14ac:dyDescent="0.2">
      <c r="A44" s="178">
        <f>IF(COUNTBLANK(B44)=1," ",COUNTA($B$15:B44))</f>
        <v>27</v>
      </c>
      <c r="B44" s="153" t="s">
        <v>93</v>
      </c>
      <c r="C44" s="272" t="s">
        <v>302</v>
      </c>
      <c r="D44" s="168" t="s">
        <v>95</v>
      </c>
      <c r="E44" s="176">
        <f>3.64*3</f>
        <v>10.92</v>
      </c>
      <c r="F44" s="95"/>
      <c r="G44" s="98"/>
      <c r="H44" s="99"/>
      <c r="I44" s="99"/>
      <c r="J44" s="95"/>
      <c r="K44" s="268"/>
      <c r="L44" s="269"/>
      <c r="M44" s="269"/>
      <c r="N44" s="269"/>
      <c r="O44" s="269"/>
      <c r="P44" s="269"/>
    </row>
    <row r="45" spans="1:16" ht="22.5" x14ac:dyDescent="0.2">
      <c r="A45" s="178" t="str">
        <f>IF(COUNTBLANK(B45)=1," ",COUNTA($B$15:B45))</f>
        <v xml:space="preserve"> </v>
      </c>
      <c r="B45" s="153"/>
      <c r="C45" s="277" t="s">
        <v>303</v>
      </c>
      <c r="D45" s="168"/>
      <c r="E45" s="176"/>
      <c r="F45" s="95"/>
      <c r="G45" s="98"/>
      <c r="H45" s="99"/>
      <c r="I45" s="99"/>
      <c r="J45" s="95"/>
      <c r="K45" s="268"/>
      <c r="L45" s="269"/>
      <c r="M45" s="269"/>
      <c r="N45" s="269"/>
      <c r="O45" s="269"/>
      <c r="P45" s="269"/>
    </row>
    <row r="46" spans="1:16" ht="22.5" x14ac:dyDescent="0.2">
      <c r="A46" s="178" t="str">
        <f>IF(COUNTBLANK(B46)=1," ",COUNTA($B$15:B46))</f>
        <v xml:space="preserve"> </v>
      </c>
      <c r="B46" s="153"/>
      <c r="C46" s="272" t="s">
        <v>304</v>
      </c>
      <c r="D46" s="168"/>
      <c r="E46" s="178"/>
      <c r="F46" s="95"/>
      <c r="G46" s="98"/>
      <c r="H46" s="99"/>
      <c r="I46" s="99"/>
      <c r="J46" s="95"/>
      <c r="K46" s="268"/>
      <c r="L46" s="269"/>
      <c r="M46" s="269"/>
      <c r="N46" s="269"/>
      <c r="O46" s="269"/>
      <c r="P46" s="269"/>
    </row>
    <row r="47" spans="1:16" ht="22.5" x14ac:dyDescent="0.2">
      <c r="A47" s="178">
        <f>IF(COUNTBLANK(B47)=1," ",COUNTA($B$15:B47))</f>
        <v>28</v>
      </c>
      <c r="B47" s="153" t="s">
        <v>93</v>
      </c>
      <c r="C47" s="272" t="s">
        <v>488</v>
      </c>
      <c r="D47" s="168" t="s">
        <v>100</v>
      </c>
      <c r="E47" s="176">
        <f>0.45*163.2</f>
        <v>73.44</v>
      </c>
      <c r="F47" s="95"/>
      <c r="G47" s="98"/>
      <c r="H47" s="99"/>
      <c r="I47" s="99"/>
      <c r="J47" s="95"/>
      <c r="K47" s="268"/>
      <c r="L47" s="269"/>
      <c r="M47" s="269"/>
      <c r="N47" s="269"/>
      <c r="O47" s="269"/>
      <c r="P47" s="269"/>
    </row>
    <row r="48" spans="1:16" ht="22.5" x14ac:dyDescent="0.2">
      <c r="A48" s="178">
        <f>IF(COUNTBLANK(B48)=1," ",COUNTA($B$15:B48))</f>
        <v>29</v>
      </c>
      <c r="B48" s="153" t="s">
        <v>93</v>
      </c>
      <c r="C48" s="272" t="s">
        <v>487</v>
      </c>
      <c r="D48" s="168" t="s">
        <v>100</v>
      </c>
      <c r="E48" s="176">
        <f>0.4*163.2</f>
        <v>65.28</v>
      </c>
      <c r="F48" s="95"/>
      <c r="G48" s="98"/>
      <c r="H48" s="99"/>
      <c r="I48" s="99"/>
      <c r="J48" s="95"/>
      <c r="K48" s="268"/>
      <c r="L48" s="269"/>
      <c r="M48" s="269"/>
      <c r="N48" s="269"/>
      <c r="O48" s="269"/>
      <c r="P48" s="269"/>
    </row>
    <row r="49" spans="1:16" ht="33.75" x14ac:dyDescent="0.2">
      <c r="A49" s="178">
        <f>IF(COUNTBLANK(B49)=1," ",COUNTA($B$15:B49))</f>
        <v>30</v>
      </c>
      <c r="B49" s="153" t="s">
        <v>93</v>
      </c>
      <c r="C49" s="272" t="s">
        <v>305</v>
      </c>
      <c r="D49" s="168" t="s">
        <v>107</v>
      </c>
      <c r="E49" s="176">
        <f>0.004*0.04*0.25*326*7800</f>
        <v>101.712</v>
      </c>
      <c r="F49" s="95"/>
      <c r="G49" s="98"/>
      <c r="H49" s="99"/>
      <c r="I49" s="99"/>
      <c r="J49" s="95"/>
      <c r="K49" s="268"/>
      <c r="L49" s="269"/>
      <c r="M49" s="269"/>
      <c r="N49" s="269"/>
      <c r="O49" s="269"/>
      <c r="P49" s="269"/>
    </row>
    <row r="50" spans="1:16" x14ac:dyDescent="0.2">
      <c r="A50" s="178">
        <f>IF(COUNTBLANK(B50)=1," ",COUNTA($B$15:B50))</f>
        <v>31</v>
      </c>
      <c r="B50" s="153" t="s">
        <v>93</v>
      </c>
      <c r="C50" s="272" t="s">
        <v>306</v>
      </c>
      <c r="D50" s="168" t="s">
        <v>100</v>
      </c>
      <c r="E50" s="176">
        <v>7</v>
      </c>
      <c r="F50" s="95"/>
      <c r="G50" s="98"/>
      <c r="H50" s="99"/>
      <c r="I50" s="99"/>
      <c r="J50" s="95"/>
      <c r="K50" s="268"/>
      <c r="L50" s="269"/>
      <c r="M50" s="269"/>
      <c r="N50" s="269"/>
      <c r="O50" s="269"/>
      <c r="P50" s="269"/>
    </row>
    <row r="51" spans="1:16" ht="22.5" x14ac:dyDescent="0.2">
      <c r="A51" s="178">
        <f>IF(COUNTBLANK(B51)=1," ",COUNTA($B$15:B51))</f>
        <v>32</v>
      </c>
      <c r="B51" s="153" t="s">
        <v>93</v>
      </c>
      <c r="C51" s="272" t="s">
        <v>307</v>
      </c>
      <c r="D51" s="168" t="s">
        <v>97</v>
      </c>
      <c r="E51" s="178">
        <f>326*2</f>
        <v>652</v>
      </c>
      <c r="F51" s="95"/>
      <c r="G51" s="98"/>
      <c r="H51" s="99"/>
      <c r="I51" s="99"/>
      <c r="J51" s="95"/>
      <c r="K51" s="268"/>
      <c r="L51" s="269"/>
      <c r="M51" s="269"/>
      <c r="N51" s="269"/>
      <c r="O51" s="269"/>
      <c r="P51" s="269"/>
    </row>
    <row r="52" spans="1:16" ht="33.75" x14ac:dyDescent="0.2">
      <c r="A52" s="178">
        <f>IF(COUNTBLANK(B52)=1," ",COUNTA($B$15:B52))</f>
        <v>33</v>
      </c>
      <c r="B52" s="153" t="s">
        <v>93</v>
      </c>
      <c r="C52" s="272" t="s">
        <v>308</v>
      </c>
      <c r="D52" s="168" t="s">
        <v>100</v>
      </c>
      <c r="E52" s="176">
        <f>0.5*163.2</f>
        <v>81.599999999999994</v>
      </c>
      <c r="F52" s="95"/>
      <c r="G52" s="98"/>
      <c r="H52" s="99"/>
      <c r="I52" s="99"/>
      <c r="J52" s="95"/>
      <c r="K52" s="268"/>
      <c r="L52" s="269"/>
      <c r="M52" s="269"/>
      <c r="N52" s="269"/>
      <c r="O52" s="269"/>
      <c r="P52" s="269"/>
    </row>
    <row r="53" spans="1:16" ht="22.5" x14ac:dyDescent="0.2">
      <c r="A53" s="178">
        <f>IF(COUNTBLANK(B53)=1," ",COUNTA($B$15:B53))</f>
        <v>34</v>
      </c>
      <c r="B53" s="153" t="s">
        <v>93</v>
      </c>
      <c r="C53" s="272" t="s">
        <v>309</v>
      </c>
      <c r="D53" s="168" t="s">
        <v>97</v>
      </c>
      <c r="E53" s="178">
        <v>326</v>
      </c>
      <c r="F53" s="95"/>
      <c r="G53" s="98"/>
      <c r="H53" s="99"/>
      <c r="I53" s="99"/>
      <c r="J53" s="95"/>
      <c r="K53" s="268"/>
      <c r="L53" s="269"/>
      <c r="M53" s="269"/>
      <c r="N53" s="269"/>
      <c r="O53" s="269"/>
      <c r="P53" s="269"/>
    </row>
    <row r="54" spans="1:16" ht="22.5" x14ac:dyDescent="0.2">
      <c r="A54" s="178">
        <f>IF(COUNTBLANK(B54)=1," ",COUNTA($B$15:B54))</f>
        <v>35</v>
      </c>
      <c r="B54" s="153" t="s">
        <v>93</v>
      </c>
      <c r="C54" s="272" t="s">
        <v>489</v>
      </c>
      <c r="D54" s="168" t="s">
        <v>100</v>
      </c>
      <c r="E54" s="176">
        <f>1.5*136.2</f>
        <v>204.29999999999998</v>
      </c>
      <c r="F54" s="95"/>
      <c r="G54" s="98"/>
      <c r="H54" s="99"/>
      <c r="I54" s="99"/>
      <c r="J54" s="95"/>
      <c r="K54" s="268"/>
      <c r="L54" s="269"/>
      <c r="M54" s="269"/>
      <c r="N54" s="269"/>
      <c r="O54" s="269"/>
      <c r="P54" s="269"/>
    </row>
    <row r="55" spans="1:16" x14ac:dyDescent="0.2">
      <c r="A55" s="178">
        <f>IF(COUNTBLANK(B55)=1," ",COUNTA($B$15:B55))</f>
        <v>36</v>
      </c>
      <c r="B55" s="153" t="s">
        <v>93</v>
      </c>
      <c r="C55" s="272" t="s">
        <v>490</v>
      </c>
      <c r="D55" s="168" t="s">
        <v>100</v>
      </c>
      <c r="E55" s="176">
        <f>1.5*136.2</f>
        <v>204.29999999999998</v>
      </c>
      <c r="F55" s="95"/>
      <c r="G55" s="98"/>
      <c r="H55" s="99"/>
      <c r="I55" s="99"/>
      <c r="J55" s="95"/>
      <c r="K55" s="268"/>
      <c r="L55" s="269"/>
      <c r="M55" s="269"/>
      <c r="N55" s="269"/>
      <c r="O55" s="269"/>
      <c r="P55" s="269"/>
    </row>
    <row r="56" spans="1:16" ht="22.5" x14ac:dyDescent="0.2">
      <c r="A56" s="178" t="str">
        <f>IF(COUNTBLANK(B56)=1," ",COUNTA($B$15:B56))</f>
        <v xml:space="preserve"> </v>
      </c>
      <c r="B56" s="153"/>
      <c r="C56" s="272" t="s">
        <v>310</v>
      </c>
      <c r="D56" s="168"/>
      <c r="E56" s="178"/>
      <c r="F56" s="95"/>
      <c r="G56" s="98"/>
      <c r="H56" s="99"/>
      <c r="I56" s="99"/>
      <c r="J56" s="95"/>
      <c r="K56" s="268"/>
      <c r="L56" s="269"/>
      <c r="M56" s="269"/>
      <c r="N56" s="269"/>
      <c r="O56" s="269"/>
      <c r="P56" s="269"/>
    </row>
    <row r="57" spans="1:16" x14ac:dyDescent="0.2">
      <c r="A57" s="178">
        <f>IF(COUNTBLANK(B57)=1," ",COUNTA($B$15:B57))</f>
        <v>37</v>
      </c>
      <c r="B57" s="153" t="s">
        <v>93</v>
      </c>
      <c r="C57" s="272" t="s">
        <v>491</v>
      </c>
      <c r="D57" s="168" t="s">
        <v>100</v>
      </c>
      <c r="E57" s="176">
        <f>0.3*139.2</f>
        <v>41.76</v>
      </c>
      <c r="F57" s="95"/>
      <c r="G57" s="98"/>
      <c r="H57" s="99"/>
      <c r="I57" s="99"/>
      <c r="J57" s="95"/>
      <c r="K57" s="268"/>
      <c r="L57" s="269"/>
      <c r="M57" s="269"/>
      <c r="N57" s="269"/>
      <c r="O57" s="269"/>
      <c r="P57" s="269"/>
    </row>
    <row r="58" spans="1:16" x14ac:dyDescent="0.2">
      <c r="A58" s="178">
        <f>IF(COUNTBLANK(B58)=1," ",COUNTA($B$15:B58))</f>
        <v>38</v>
      </c>
      <c r="B58" s="153" t="s">
        <v>93</v>
      </c>
      <c r="C58" s="272" t="s">
        <v>492</v>
      </c>
      <c r="D58" s="168" t="s">
        <v>95</v>
      </c>
      <c r="E58" s="176">
        <v>139.19999999999999</v>
      </c>
      <c r="F58" s="95"/>
      <c r="G58" s="98"/>
      <c r="H58" s="99"/>
      <c r="I58" s="99"/>
      <c r="J58" s="95"/>
      <c r="K58" s="268"/>
      <c r="L58" s="269"/>
      <c r="M58" s="269"/>
      <c r="N58" s="269"/>
      <c r="O58" s="269"/>
      <c r="P58" s="269"/>
    </row>
    <row r="59" spans="1:16" ht="22.5" x14ac:dyDescent="0.2">
      <c r="A59" s="178">
        <f>IF(COUNTBLANK(B59)=1," ",COUNTA($B$15:B59))</f>
        <v>39</v>
      </c>
      <c r="B59" s="153" t="s">
        <v>93</v>
      </c>
      <c r="C59" s="272" t="s">
        <v>311</v>
      </c>
      <c r="D59" s="168" t="s">
        <v>100</v>
      </c>
      <c r="E59" s="176">
        <f>1.05*139.2</f>
        <v>146.16</v>
      </c>
      <c r="F59" s="95"/>
      <c r="G59" s="98"/>
      <c r="H59" s="99"/>
      <c r="I59" s="99"/>
      <c r="J59" s="95"/>
      <c r="K59" s="268"/>
      <c r="L59" s="269"/>
      <c r="M59" s="269"/>
      <c r="N59" s="269"/>
      <c r="O59" s="269"/>
      <c r="P59" s="269"/>
    </row>
    <row r="60" spans="1:16" ht="22.5" x14ac:dyDescent="0.2">
      <c r="A60" s="178">
        <f>IF(COUNTBLANK(B60)=1," ",COUNTA($B$15:B60))</f>
        <v>40</v>
      </c>
      <c r="B60" s="153" t="s">
        <v>93</v>
      </c>
      <c r="C60" s="272" t="s">
        <v>312</v>
      </c>
      <c r="D60" s="168" t="s">
        <v>95</v>
      </c>
      <c r="E60" s="176">
        <v>139.19999999999999</v>
      </c>
      <c r="F60" s="95"/>
      <c r="G60" s="98"/>
      <c r="H60" s="99"/>
      <c r="I60" s="99"/>
      <c r="J60" s="95"/>
      <c r="K60" s="268"/>
      <c r="L60" s="269"/>
      <c r="M60" s="269"/>
      <c r="N60" s="269"/>
      <c r="O60" s="269"/>
      <c r="P60" s="269"/>
    </row>
    <row r="61" spans="1:16" ht="22.5" x14ac:dyDescent="0.2">
      <c r="A61" s="178">
        <f>IF(COUNTBLANK(B61)=1," ",COUNTA($B$15:B61))</f>
        <v>41</v>
      </c>
      <c r="B61" s="153" t="s">
        <v>93</v>
      </c>
      <c r="C61" s="272" t="s">
        <v>313</v>
      </c>
      <c r="D61" s="168" t="s">
        <v>95</v>
      </c>
      <c r="E61" s="176">
        <v>139.19999999999999</v>
      </c>
      <c r="F61" s="95"/>
      <c r="G61" s="98"/>
      <c r="H61" s="99"/>
      <c r="I61" s="99"/>
      <c r="J61" s="95"/>
      <c r="K61" s="268"/>
      <c r="L61" s="269"/>
      <c r="M61" s="269"/>
      <c r="N61" s="269"/>
      <c r="O61" s="269"/>
      <c r="P61" s="269"/>
    </row>
    <row r="62" spans="1:16" x14ac:dyDescent="0.2">
      <c r="A62" s="178">
        <f>IF(COUNTBLANK(B62)=1," ",COUNTA($B$15:B62))</f>
        <v>42</v>
      </c>
      <c r="B62" s="153" t="s">
        <v>93</v>
      </c>
      <c r="C62" s="272" t="s">
        <v>302</v>
      </c>
      <c r="D62" s="168" t="s">
        <v>95</v>
      </c>
      <c r="E62" s="176">
        <v>139.19999999999999</v>
      </c>
      <c r="F62" s="95"/>
      <c r="G62" s="98"/>
      <c r="H62" s="99"/>
      <c r="I62" s="99"/>
      <c r="J62" s="95"/>
      <c r="K62" s="268"/>
      <c r="L62" s="269"/>
      <c r="M62" s="269"/>
      <c r="N62" s="269"/>
      <c r="O62" s="269"/>
      <c r="P62" s="269"/>
    </row>
    <row r="63" spans="1:16" ht="12" thickBot="1" x14ac:dyDescent="0.25">
      <c r="A63" s="360" t="s">
        <v>545</v>
      </c>
      <c r="B63" s="361"/>
      <c r="C63" s="361"/>
      <c r="D63" s="361"/>
      <c r="E63" s="361"/>
      <c r="F63" s="361"/>
      <c r="G63" s="361"/>
      <c r="H63" s="361"/>
      <c r="I63" s="361"/>
      <c r="J63" s="361"/>
      <c r="K63" s="362"/>
      <c r="L63" s="226">
        <f>SUM(L14:L62)</f>
        <v>0</v>
      </c>
      <c r="M63" s="238">
        <f>SUM(M14:M62)</f>
        <v>0</v>
      </c>
      <c r="N63" s="238">
        <f>SUM(N14:N62)</f>
        <v>0</v>
      </c>
      <c r="O63" s="238">
        <f>SUM(O14:O62)</f>
        <v>0</v>
      </c>
      <c r="P63" s="239">
        <f>SUM(P14:P62)</f>
        <v>0</v>
      </c>
    </row>
    <row r="64" spans="1:16" x14ac:dyDescent="0.2">
      <c r="A64" s="173"/>
      <c r="B64" s="173"/>
      <c r="C64" s="173"/>
      <c r="D64" s="173"/>
      <c r="E64" s="173"/>
      <c r="F64" s="173"/>
      <c r="G64" s="173"/>
      <c r="H64" s="173"/>
      <c r="I64" s="173"/>
      <c r="J64" s="173"/>
      <c r="K64" s="173"/>
      <c r="L64" s="173"/>
      <c r="M64" s="173"/>
      <c r="N64" s="173"/>
      <c r="O64" s="173"/>
      <c r="P64" s="173"/>
    </row>
    <row r="65" spans="1:16" x14ac:dyDescent="0.2">
      <c r="A65" s="173"/>
      <c r="B65" s="173"/>
      <c r="C65" s="173"/>
      <c r="D65" s="173"/>
      <c r="E65" s="173"/>
      <c r="F65" s="173"/>
      <c r="G65" s="173"/>
      <c r="H65" s="173"/>
      <c r="I65" s="173"/>
      <c r="J65" s="173"/>
      <c r="K65" s="173"/>
      <c r="L65" s="173"/>
      <c r="M65" s="173"/>
      <c r="N65" s="173"/>
      <c r="O65" s="173"/>
      <c r="P65" s="173"/>
    </row>
    <row r="66" spans="1:16" x14ac:dyDescent="0.2">
      <c r="A66" s="174" t="s">
        <v>14</v>
      </c>
      <c r="B66" s="173"/>
      <c r="C66" s="358">
        <f>'Kops a'!C34:H34</f>
        <v>0</v>
      </c>
      <c r="D66" s="358"/>
      <c r="E66" s="358"/>
      <c r="F66" s="358"/>
      <c r="G66" s="358"/>
      <c r="H66" s="358"/>
      <c r="I66" s="173"/>
      <c r="J66" s="173"/>
      <c r="K66" s="173"/>
      <c r="L66" s="173"/>
      <c r="M66" s="173"/>
      <c r="N66" s="173"/>
      <c r="O66" s="173"/>
      <c r="P66" s="173"/>
    </row>
    <row r="67" spans="1:16" x14ac:dyDescent="0.2">
      <c r="A67" s="173"/>
      <c r="B67" s="173"/>
      <c r="C67" s="359" t="s">
        <v>15</v>
      </c>
      <c r="D67" s="359"/>
      <c r="E67" s="359"/>
      <c r="F67" s="359"/>
      <c r="G67" s="359"/>
      <c r="H67" s="359"/>
      <c r="I67" s="173"/>
      <c r="J67" s="173"/>
      <c r="K67" s="173"/>
      <c r="L67" s="173"/>
      <c r="M67" s="173"/>
      <c r="N67" s="173"/>
      <c r="O67" s="173"/>
      <c r="P67" s="173"/>
    </row>
    <row r="68" spans="1:16" x14ac:dyDescent="0.2">
      <c r="A68" s="173"/>
      <c r="B68" s="173"/>
      <c r="C68" s="173"/>
      <c r="D68" s="173"/>
      <c r="E68" s="173"/>
      <c r="F68" s="173"/>
      <c r="G68" s="173"/>
      <c r="H68" s="173"/>
      <c r="I68" s="173"/>
      <c r="J68" s="173"/>
      <c r="K68" s="173"/>
      <c r="L68" s="173"/>
      <c r="M68" s="173"/>
      <c r="N68" s="173"/>
      <c r="O68" s="173"/>
      <c r="P68" s="173"/>
    </row>
    <row r="69" spans="1:16" x14ac:dyDescent="0.2">
      <c r="A69" s="227" t="str">
        <f>'Kops a'!A37</f>
        <v>Tāme sastādīta 2021. gada</v>
      </c>
      <c r="B69" s="228"/>
      <c r="C69" s="228"/>
      <c r="D69" s="228"/>
      <c r="E69" s="173"/>
      <c r="F69" s="173"/>
      <c r="G69" s="173"/>
      <c r="H69" s="173"/>
      <c r="I69" s="173"/>
      <c r="J69" s="173"/>
      <c r="K69" s="173"/>
      <c r="L69" s="173"/>
      <c r="M69" s="173"/>
      <c r="N69" s="173"/>
      <c r="O69" s="173"/>
      <c r="P69" s="173"/>
    </row>
    <row r="70" spans="1:16" x14ac:dyDescent="0.2">
      <c r="A70" s="173"/>
      <c r="B70" s="173"/>
      <c r="C70" s="173"/>
      <c r="D70" s="173"/>
      <c r="E70" s="173"/>
      <c r="F70" s="173"/>
      <c r="G70" s="173"/>
      <c r="H70" s="173"/>
      <c r="I70" s="173"/>
      <c r="J70" s="173"/>
      <c r="K70" s="173"/>
      <c r="L70" s="173"/>
      <c r="M70" s="173"/>
      <c r="N70" s="173"/>
      <c r="O70" s="173"/>
      <c r="P70" s="173"/>
    </row>
    <row r="71" spans="1:16" x14ac:dyDescent="0.2">
      <c r="A71" s="174" t="s">
        <v>37</v>
      </c>
      <c r="B71" s="173"/>
      <c r="C71" s="358">
        <f>'Kops a'!C39:H39</f>
        <v>0</v>
      </c>
      <c r="D71" s="358"/>
      <c r="E71" s="358"/>
      <c r="F71" s="358"/>
      <c r="G71" s="358"/>
      <c r="H71" s="358"/>
      <c r="I71" s="173"/>
      <c r="J71" s="173"/>
      <c r="K71" s="173"/>
      <c r="L71" s="173"/>
      <c r="M71" s="173"/>
      <c r="N71" s="173"/>
      <c r="O71" s="173"/>
      <c r="P71" s="173"/>
    </row>
    <row r="72" spans="1:16" x14ac:dyDescent="0.2">
      <c r="A72" s="173"/>
      <c r="B72" s="173"/>
      <c r="C72" s="359" t="s">
        <v>15</v>
      </c>
      <c r="D72" s="359"/>
      <c r="E72" s="359"/>
      <c r="F72" s="359"/>
      <c r="G72" s="359"/>
      <c r="H72" s="359"/>
      <c r="I72" s="173"/>
      <c r="J72" s="173"/>
      <c r="K72" s="173"/>
      <c r="L72" s="173"/>
      <c r="M72" s="173"/>
      <c r="N72" s="173"/>
      <c r="O72" s="173"/>
      <c r="P72" s="173"/>
    </row>
    <row r="73" spans="1:16" x14ac:dyDescent="0.2">
      <c r="A73" s="173"/>
      <c r="B73" s="173"/>
      <c r="C73" s="173"/>
      <c r="D73" s="173"/>
      <c r="E73" s="173"/>
      <c r="F73" s="173"/>
      <c r="G73" s="173"/>
      <c r="H73" s="173"/>
      <c r="I73" s="173"/>
      <c r="J73" s="173"/>
      <c r="K73" s="173"/>
      <c r="L73" s="173"/>
      <c r="M73" s="173"/>
      <c r="N73" s="173"/>
      <c r="O73" s="173"/>
      <c r="P73" s="173"/>
    </row>
    <row r="74" spans="1:16" x14ac:dyDescent="0.2">
      <c r="A74" s="227" t="s">
        <v>54</v>
      </c>
      <c r="B74" s="228"/>
      <c r="C74" s="229">
        <f>'Kops a'!C42</f>
        <v>0</v>
      </c>
      <c r="D74" s="230"/>
      <c r="E74" s="173"/>
      <c r="F74" s="173"/>
      <c r="G74" s="173"/>
      <c r="H74" s="173"/>
      <c r="I74" s="173"/>
      <c r="J74" s="173"/>
      <c r="K74" s="173"/>
      <c r="L74" s="173"/>
      <c r="M74" s="173"/>
      <c r="N74" s="173"/>
      <c r="O74" s="173"/>
      <c r="P74" s="173"/>
    </row>
    <row r="75" spans="1:16" x14ac:dyDescent="0.2">
      <c r="A75" s="173"/>
      <c r="B75" s="173"/>
      <c r="C75" s="173"/>
      <c r="D75" s="173"/>
      <c r="E75" s="173"/>
      <c r="F75" s="173"/>
      <c r="G75" s="173"/>
      <c r="H75" s="173"/>
      <c r="I75" s="173"/>
      <c r="J75" s="173"/>
      <c r="K75" s="173"/>
      <c r="L75" s="173"/>
      <c r="M75" s="173"/>
      <c r="N75" s="173"/>
      <c r="O75" s="173"/>
      <c r="P75" s="173"/>
    </row>
    <row r="76" spans="1:16" x14ac:dyDescent="0.2">
      <c r="A76" s="231" t="s">
        <v>63</v>
      </c>
      <c r="B76" s="173"/>
      <c r="E76" s="167"/>
      <c r="F76" s="232"/>
      <c r="G76" s="167"/>
      <c r="H76" s="233"/>
      <c r="I76" s="233"/>
      <c r="J76" s="234"/>
      <c r="K76" s="235"/>
      <c r="L76" s="235"/>
      <c r="M76" s="235"/>
      <c r="N76" s="235"/>
      <c r="O76" s="235"/>
    </row>
    <row r="77" spans="1:16" x14ac:dyDescent="0.2">
      <c r="A77" s="357" t="s">
        <v>64</v>
      </c>
      <c r="B77" s="357"/>
      <c r="C77" s="357"/>
      <c r="D77" s="357"/>
      <c r="E77" s="357"/>
      <c r="F77" s="357"/>
      <c r="G77" s="357"/>
      <c r="H77" s="357"/>
      <c r="I77" s="357"/>
      <c r="J77" s="357"/>
      <c r="K77" s="357"/>
      <c r="L77" s="357"/>
      <c r="M77" s="357"/>
      <c r="N77" s="357"/>
      <c r="O77" s="357"/>
    </row>
    <row r="78" spans="1:16" x14ac:dyDescent="0.2">
      <c r="A78" s="357" t="s">
        <v>65</v>
      </c>
      <c r="B78" s="357"/>
      <c r="C78" s="357"/>
      <c r="D78" s="357"/>
      <c r="E78" s="357"/>
      <c r="F78" s="357"/>
      <c r="G78" s="357"/>
      <c r="H78" s="357"/>
      <c r="I78" s="357"/>
      <c r="J78" s="357"/>
      <c r="K78" s="357"/>
      <c r="L78" s="357"/>
      <c r="M78" s="357"/>
      <c r="N78" s="357"/>
      <c r="O78" s="357"/>
    </row>
  </sheetData>
  <autoFilter ref="A14:P63" xr:uid="{00000000-0009-0000-0000-000008000000}"/>
  <mergeCells count="24">
    <mergeCell ref="A77:O77"/>
    <mergeCell ref="A78:O78"/>
    <mergeCell ref="L12:P12"/>
    <mergeCell ref="A63:K63"/>
    <mergeCell ref="C66:H66"/>
    <mergeCell ref="C67:H67"/>
    <mergeCell ref="C71:H71"/>
    <mergeCell ref="C72:H72"/>
    <mergeCell ref="D7:L7"/>
    <mergeCell ref="C2:I2"/>
    <mergeCell ref="C3:I3"/>
    <mergeCell ref="C4:I4"/>
    <mergeCell ref="D5:L5"/>
    <mergeCell ref="D6:L6"/>
    <mergeCell ref="D8:L8"/>
    <mergeCell ref="A9:F9"/>
    <mergeCell ref="J9:M9"/>
    <mergeCell ref="N9:O9"/>
    <mergeCell ref="A12:A13"/>
    <mergeCell ref="B12:B13"/>
    <mergeCell ref="C12:C13"/>
    <mergeCell ref="D12:D13"/>
    <mergeCell ref="E12:E13"/>
    <mergeCell ref="F12:K12"/>
  </mergeCells>
  <phoneticPr fontId="25" type="noConversion"/>
  <conditionalFormatting sqref="A14:E62 I16:J62 F16:G62">
    <cfRule type="cellIs" dxfId="68" priority="95" operator="equal">
      <formula>0</formula>
    </cfRule>
  </conditionalFormatting>
  <conditionalFormatting sqref="N9:O9 H14:H62 K14:P62">
    <cfRule type="cellIs" dxfId="67" priority="94" operator="equal">
      <formula>0</formula>
    </cfRule>
  </conditionalFormatting>
  <conditionalFormatting sqref="A9:F9">
    <cfRule type="containsText" dxfId="66" priority="93"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65" priority="92" operator="equal">
      <formula>0</formula>
    </cfRule>
  </conditionalFormatting>
  <conditionalFormatting sqref="O10">
    <cfRule type="cellIs" dxfId="64" priority="91" operator="equal">
      <formula>"20__. gada __. _________"</formula>
    </cfRule>
  </conditionalFormatting>
  <conditionalFormatting sqref="A63:K63">
    <cfRule type="containsText" dxfId="63" priority="90" operator="containsText" text="Tiešās izmaksas kopā, t. sk. darba devēja sociālais nodoklis __.__% ">
      <formula>NOT(ISERROR(SEARCH("Tiešās izmaksas kopā, t. sk. darba devēja sociālais nodoklis __.__% ",A63)))</formula>
    </cfRule>
  </conditionalFormatting>
  <conditionalFormatting sqref="L63:P63">
    <cfRule type="cellIs" dxfId="62" priority="89" operator="equal">
      <formula>0</formula>
    </cfRule>
  </conditionalFormatting>
  <conditionalFormatting sqref="C4:I4">
    <cfRule type="cellIs" dxfId="61" priority="88" operator="equal">
      <formula>0</formula>
    </cfRule>
  </conditionalFormatting>
  <conditionalFormatting sqref="D5:L8">
    <cfRule type="cellIs" dxfId="60" priority="86" operator="equal">
      <formula>0</formula>
    </cfRule>
  </conditionalFormatting>
  <conditionalFormatting sqref="P10">
    <cfRule type="cellIs" dxfId="59" priority="82" operator="equal">
      <formula>"20__. gada __. _________"</formula>
    </cfRule>
  </conditionalFormatting>
  <conditionalFormatting sqref="C71:H71">
    <cfRule type="cellIs" dxfId="58" priority="79" operator="equal">
      <formula>0</formula>
    </cfRule>
  </conditionalFormatting>
  <conditionalFormatting sqref="C66:H66">
    <cfRule type="cellIs" dxfId="57" priority="78" operator="equal">
      <formula>0</formula>
    </cfRule>
  </conditionalFormatting>
  <conditionalFormatting sqref="C71:H71 C74 C66:H66">
    <cfRule type="cellIs" dxfId="56" priority="77" operator="equal">
      <formula>0</formula>
    </cfRule>
  </conditionalFormatting>
  <conditionalFormatting sqref="D1">
    <cfRule type="cellIs" dxfId="55" priority="76" operator="equal">
      <formula>0</formula>
    </cfRule>
  </conditionalFormatting>
  <conditionalFormatting sqref="I14:J15 F14:F15">
    <cfRule type="cellIs" dxfId="54" priority="61" operator="equal">
      <formula>0</formula>
    </cfRule>
  </conditionalFormatting>
  <conditionalFormatting sqref="G14:G15">
    <cfRule type="cellIs" dxfId="53" priority="60" operator="equal">
      <formula>0</formula>
    </cfRule>
  </conditionalFormatting>
  <pageMargins left="0.7" right="0.7" top="0.75" bottom="0.75" header="0.3" footer="0.3"/>
  <pageSetup paperSize="9" scale="92" fitToHeight="0" orientation="landscape" r:id="rId1"/>
  <headerFooter>
    <oddFooter>&amp;R&amp;P</oddFooter>
  </headerFooter>
  <legacyDrawing r:id="rId2"/>
  <extLst>
    <ext xmlns:x14="http://schemas.microsoft.com/office/spreadsheetml/2009/9/main" uri="{78C0D931-6437-407d-A8EE-F0AAD7539E65}">
      <x14:conditionalFormattings>
        <x14:conditionalFormatting xmlns:xm="http://schemas.microsoft.com/office/excel/2006/main">
          <x14:cfRule type="containsText" priority="96" operator="containsText" id="{43197148-A2DD-4A0A-A174-9913158AF770}">
            <xm:f>NOT(ISERROR(SEARCH("Tāme sastādīta ____. gada ___. ______________",A69)))</xm:f>
            <xm:f>"Tāme sastādīta ____. gada ___. ______________"</xm:f>
            <x14:dxf>
              <font>
                <color auto="1"/>
              </font>
              <fill>
                <patternFill>
                  <bgColor rgb="FFC6EFCE"/>
                </patternFill>
              </fill>
            </x14:dxf>
          </x14:cfRule>
          <xm:sqref>A69</xm:sqref>
        </x14:conditionalFormatting>
        <x14:conditionalFormatting xmlns:xm="http://schemas.microsoft.com/office/excel/2006/main">
          <x14:cfRule type="containsText" priority="97" operator="containsText" id="{FCA8D823-B2D3-4E87-97FD-FCB6B2C27403}">
            <xm:f>NOT(ISERROR(SEARCH("Sertifikāta Nr. _________________________________",A74)))</xm:f>
            <xm:f>"Sertifikāta Nr. _________________________________"</xm:f>
            <x14:dxf>
              <font>
                <color auto="1"/>
              </font>
              <fill>
                <patternFill>
                  <bgColor rgb="FFC6EFCE"/>
                </patternFill>
              </fill>
            </x14:dxf>
          </x14:cfRule>
          <xm:sqref>A74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5757"/>
    <pageSetUpPr fitToPage="1"/>
  </sheetPr>
  <dimension ref="A1:T98"/>
  <sheetViews>
    <sheetView view="pageBreakPreview" topLeftCell="A73" zoomScale="130" zoomScaleNormal="100" zoomScaleSheetLayoutView="130" workbookViewId="0">
      <selection activeCell="A10" sqref="A10"/>
    </sheetView>
  </sheetViews>
  <sheetFormatPr defaultColWidth="9.140625" defaultRowHeight="11.25" x14ac:dyDescent="0.2"/>
  <cols>
    <col min="1" max="1" width="4.5703125" style="174" customWidth="1"/>
    <col min="2" max="2" width="5.28515625" style="174" customWidth="1"/>
    <col min="3" max="3" width="38.42578125" style="174" customWidth="1"/>
    <col min="4" max="4" width="5.85546875" style="174" customWidth="1"/>
    <col min="5" max="5" width="8.7109375" style="174" customWidth="1"/>
    <col min="6" max="6" width="5.42578125" style="174" customWidth="1"/>
    <col min="7" max="7" width="5.5703125" style="174" customWidth="1"/>
    <col min="8" max="10" width="6.7109375" style="174" customWidth="1"/>
    <col min="11" max="11" width="7" style="174" customWidth="1"/>
    <col min="12" max="15" width="7.7109375" style="174" customWidth="1"/>
    <col min="16" max="16" width="9" style="174" customWidth="1"/>
    <col min="17" max="16384" width="9.140625" style="174"/>
  </cols>
  <sheetData>
    <row r="1" spans="1:20" x14ac:dyDescent="0.2">
      <c r="A1" s="167"/>
      <c r="B1" s="167"/>
      <c r="C1" s="194" t="s">
        <v>38</v>
      </c>
      <c r="D1" s="195">
        <f>'Kops a'!A22</f>
        <v>8</v>
      </c>
      <c r="E1" s="167"/>
      <c r="F1" s="167"/>
      <c r="G1" s="167"/>
      <c r="H1" s="167"/>
      <c r="I1" s="167"/>
      <c r="J1" s="167"/>
      <c r="N1" s="196"/>
      <c r="O1" s="194"/>
      <c r="P1" s="197"/>
    </row>
    <row r="2" spans="1:20" x14ac:dyDescent="0.2">
      <c r="A2" s="198"/>
      <c r="B2" s="198"/>
      <c r="C2" s="338" t="s">
        <v>365</v>
      </c>
      <c r="D2" s="338"/>
      <c r="E2" s="338"/>
      <c r="F2" s="338"/>
      <c r="G2" s="338"/>
      <c r="H2" s="338"/>
      <c r="I2" s="338"/>
      <c r="J2" s="198"/>
    </row>
    <row r="3" spans="1:20" x14ac:dyDescent="0.2">
      <c r="A3" s="199"/>
      <c r="B3" s="199"/>
      <c r="C3" s="339" t="s">
        <v>17</v>
      </c>
      <c r="D3" s="339"/>
      <c r="E3" s="339"/>
      <c r="F3" s="339"/>
      <c r="G3" s="339"/>
      <c r="H3" s="339"/>
      <c r="I3" s="339"/>
      <c r="J3" s="199"/>
    </row>
    <row r="4" spans="1:20" x14ac:dyDescent="0.2">
      <c r="A4" s="199"/>
      <c r="B4" s="199"/>
      <c r="C4" s="340" t="s">
        <v>52</v>
      </c>
      <c r="D4" s="340"/>
      <c r="E4" s="340"/>
      <c r="F4" s="340"/>
      <c r="G4" s="340"/>
      <c r="H4" s="340"/>
      <c r="I4" s="340"/>
      <c r="J4" s="199"/>
    </row>
    <row r="5" spans="1:20" x14ac:dyDescent="0.2">
      <c r="A5" s="167"/>
      <c r="B5" s="167"/>
      <c r="C5" s="194" t="s">
        <v>5</v>
      </c>
      <c r="D5" s="354" t="str">
        <f>'Kops a'!D6</f>
        <v>Dzīvojamās ēkas vienkāršotā atjaunošana</v>
      </c>
      <c r="E5" s="354"/>
      <c r="F5" s="354"/>
      <c r="G5" s="354"/>
      <c r="H5" s="354"/>
      <c r="I5" s="354"/>
      <c r="J5" s="354"/>
      <c r="K5" s="354"/>
      <c r="L5" s="354"/>
      <c r="M5" s="173"/>
      <c r="N5" s="173"/>
      <c r="O5" s="173"/>
      <c r="P5" s="173"/>
    </row>
    <row r="6" spans="1:20" x14ac:dyDescent="0.2">
      <c r="A6" s="167"/>
      <c r="B6" s="167"/>
      <c r="C6" s="194" t="s">
        <v>6</v>
      </c>
      <c r="D6" s="354" t="str">
        <f>'Kops a'!D7</f>
        <v>Daudzdzīvokļu dzīvojamās ēkas energoefektivitātes paaugstināšanas pasākumi</v>
      </c>
      <c r="E6" s="354"/>
      <c r="F6" s="354"/>
      <c r="G6" s="354"/>
      <c r="H6" s="354"/>
      <c r="I6" s="354"/>
      <c r="J6" s="354"/>
      <c r="K6" s="354"/>
      <c r="L6" s="354"/>
      <c r="M6" s="173"/>
      <c r="N6" s="173"/>
      <c r="O6" s="173"/>
      <c r="P6" s="173"/>
    </row>
    <row r="7" spans="1:20" x14ac:dyDescent="0.2">
      <c r="A7" s="167"/>
      <c r="B7" s="167"/>
      <c r="C7" s="194" t="s">
        <v>7</v>
      </c>
      <c r="D7" s="354" t="str">
        <f>'Kops a'!D8</f>
        <v>Dzērves iela 23, Liepāja</v>
      </c>
      <c r="E7" s="354"/>
      <c r="F7" s="354"/>
      <c r="G7" s="354"/>
      <c r="H7" s="354"/>
      <c r="I7" s="354"/>
      <c r="J7" s="354"/>
      <c r="K7" s="354"/>
      <c r="L7" s="354"/>
      <c r="M7" s="173"/>
      <c r="N7" s="173"/>
      <c r="O7" s="173"/>
      <c r="P7" s="173"/>
    </row>
    <row r="8" spans="1:20" x14ac:dyDescent="0.2">
      <c r="A8" s="167"/>
      <c r="B8" s="167"/>
      <c r="C8" s="200" t="s">
        <v>20</v>
      </c>
      <c r="D8" s="354" t="str">
        <f>'Kops a'!D9</f>
        <v>EA-14-17/WOOS</v>
      </c>
      <c r="E8" s="354"/>
      <c r="F8" s="354"/>
      <c r="G8" s="354"/>
      <c r="H8" s="354"/>
      <c r="I8" s="354"/>
      <c r="J8" s="354"/>
      <c r="K8" s="354"/>
      <c r="L8" s="354"/>
      <c r="M8" s="173"/>
      <c r="N8" s="173"/>
      <c r="O8" s="173"/>
      <c r="P8" s="173"/>
    </row>
    <row r="9" spans="1:20" x14ac:dyDescent="0.2">
      <c r="A9" s="341" t="s">
        <v>556</v>
      </c>
      <c r="B9" s="341"/>
      <c r="C9" s="341"/>
      <c r="D9" s="341"/>
      <c r="E9" s="341"/>
      <c r="F9" s="341"/>
      <c r="G9" s="175"/>
      <c r="H9" s="175"/>
      <c r="I9" s="175"/>
      <c r="J9" s="345" t="s">
        <v>39</v>
      </c>
      <c r="K9" s="345"/>
      <c r="L9" s="345"/>
      <c r="M9" s="345"/>
      <c r="N9" s="353">
        <f>P83</f>
        <v>0</v>
      </c>
      <c r="O9" s="353"/>
      <c r="P9" s="175"/>
    </row>
    <row r="10" spans="1:20" x14ac:dyDescent="0.2">
      <c r="A10" s="201"/>
      <c r="B10" s="202"/>
      <c r="C10" s="200"/>
      <c r="D10" s="167"/>
      <c r="E10" s="167"/>
      <c r="F10" s="167"/>
      <c r="G10" s="167"/>
      <c r="H10" s="167"/>
      <c r="I10" s="167"/>
      <c r="J10" s="167"/>
      <c r="K10" s="167"/>
      <c r="L10" s="198"/>
      <c r="M10" s="198"/>
      <c r="O10" s="237"/>
      <c r="P10" s="204" t="str">
        <f>A89</f>
        <v>Tāme sastādīta 2021. gada</v>
      </c>
    </row>
    <row r="11" spans="1:20" ht="12" thickBot="1" x14ac:dyDescent="0.25">
      <c r="A11" s="201"/>
      <c r="B11" s="202"/>
      <c r="C11" s="200"/>
      <c r="D11" s="167"/>
      <c r="E11" s="167"/>
      <c r="F11" s="167"/>
      <c r="G11" s="167"/>
      <c r="H11" s="167"/>
      <c r="I11" s="167"/>
      <c r="J11" s="167"/>
      <c r="K11" s="167"/>
      <c r="L11" s="205"/>
      <c r="M11" s="205"/>
      <c r="N11" s="206"/>
      <c r="O11" s="196"/>
      <c r="P11" s="167"/>
    </row>
    <row r="12" spans="1:20" x14ac:dyDescent="0.2">
      <c r="A12" s="346" t="s">
        <v>23</v>
      </c>
      <c r="B12" s="348" t="s">
        <v>40</v>
      </c>
      <c r="C12" s="343" t="s">
        <v>41</v>
      </c>
      <c r="D12" s="351" t="s">
        <v>42</v>
      </c>
      <c r="E12" s="355" t="s">
        <v>43</v>
      </c>
      <c r="F12" s="342" t="s">
        <v>44</v>
      </c>
      <c r="G12" s="343"/>
      <c r="H12" s="343"/>
      <c r="I12" s="343"/>
      <c r="J12" s="343"/>
      <c r="K12" s="344"/>
      <c r="L12" s="342" t="s">
        <v>45</v>
      </c>
      <c r="M12" s="343"/>
      <c r="N12" s="343"/>
      <c r="O12" s="343"/>
      <c r="P12" s="344"/>
    </row>
    <row r="13" spans="1:20" ht="66" x14ac:dyDescent="0.2">
      <c r="A13" s="378"/>
      <c r="B13" s="379"/>
      <c r="C13" s="380"/>
      <c r="D13" s="381"/>
      <c r="E13" s="382"/>
      <c r="F13" s="278" t="s">
        <v>46</v>
      </c>
      <c r="G13" s="279" t="s">
        <v>47</v>
      </c>
      <c r="H13" s="279" t="s">
        <v>48</v>
      </c>
      <c r="I13" s="279" t="s">
        <v>49</v>
      </c>
      <c r="J13" s="279" t="s">
        <v>50</v>
      </c>
      <c r="K13" s="280" t="s">
        <v>51</v>
      </c>
      <c r="L13" s="278" t="s">
        <v>46</v>
      </c>
      <c r="M13" s="279" t="s">
        <v>48</v>
      </c>
      <c r="N13" s="279" t="s">
        <v>49</v>
      </c>
      <c r="O13" s="279" t="s">
        <v>50</v>
      </c>
      <c r="P13" s="280" t="s">
        <v>51</v>
      </c>
    </row>
    <row r="14" spans="1:20" ht="22.5" x14ac:dyDescent="0.2">
      <c r="A14" s="168"/>
      <c r="B14" s="168"/>
      <c r="C14" s="273" t="s">
        <v>366</v>
      </c>
      <c r="D14" s="168" t="s">
        <v>97</v>
      </c>
      <c r="E14" s="168">
        <v>4</v>
      </c>
      <c r="F14" s="75"/>
      <c r="G14" s="98"/>
      <c r="H14" s="271"/>
      <c r="I14" s="75"/>
      <c r="J14" s="75"/>
      <c r="K14" s="268"/>
      <c r="L14" s="269"/>
      <c r="M14" s="269"/>
      <c r="N14" s="269"/>
      <c r="O14" s="269"/>
      <c r="P14" s="269"/>
    </row>
    <row r="15" spans="1:20" ht="22.5" customHeight="1" x14ac:dyDescent="0.2">
      <c r="A15" s="101">
        <f>IF(COUNTBLANK(B15)=1," ",COUNTA($B$14:B15))</f>
        <v>1</v>
      </c>
      <c r="B15" s="272" t="s">
        <v>93</v>
      </c>
      <c r="C15" s="267" t="s">
        <v>367</v>
      </c>
      <c r="D15" s="168" t="s">
        <v>100</v>
      </c>
      <c r="E15" s="176">
        <f>0.4*36.4</f>
        <v>14.56</v>
      </c>
      <c r="F15" s="95"/>
      <c r="G15" s="98"/>
      <c r="H15" s="99"/>
      <c r="I15" s="99"/>
      <c r="J15" s="95"/>
      <c r="K15" s="268"/>
      <c r="L15" s="269"/>
      <c r="M15" s="269"/>
      <c r="N15" s="269"/>
      <c r="O15" s="269"/>
      <c r="P15" s="269"/>
      <c r="Q15" s="175"/>
      <c r="R15" s="175"/>
      <c r="S15" s="175"/>
      <c r="T15" s="175"/>
    </row>
    <row r="16" spans="1:20" ht="33.75" x14ac:dyDescent="0.2">
      <c r="A16" s="101">
        <f>IF(COUNTBLANK(B16)=1," ",COUNTA($B$14:B16))</f>
        <v>2</v>
      </c>
      <c r="B16" s="272" t="s">
        <v>93</v>
      </c>
      <c r="C16" s="267" t="s">
        <v>368</v>
      </c>
      <c r="D16" s="168" t="s">
        <v>100</v>
      </c>
      <c r="E16" s="176">
        <f>5*4</f>
        <v>20</v>
      </c>
      <c r="F16" s="75"/>
      <c r="G16" s="98"/>
      <c r="H16" s="75"/>
      <c r="I16" s="100"/>
      <c r="J16" s="75"/>
      <c r="K16" s="268"/>
      <c r="L16" s="269"/>
      <c r="M16" s="269"/>
      <c r="N16" s="269"/>
      <c r="O16" s="269"/>
      <c r="P16" s="269"/>
      <c r="Q16" s="175"/>
      <c r="R16" s="175"/>
      <c r="S16" s="175"/>
      <c r="T16" s="175"/>
    </row>
    <row r="17" spans="1:20" ht="33.75" x14ac:dyDescent="0.2">
      <c r="A17" s="101">
        <f>IF(COUNTBLANK(B17)=1," ",COUNTA($B$14:B17))</f>
        <v>3</v>
      </c>
      <c r="B17" s="272" t="s">
        <v>93</v>
      </c>
      <c r="C17" s="267" t="s">
        <v>369</v>
      </c>
      <c r="D17" s="168" t="s">
        <v>100</v>
      </c>
      <c r="E17" s="176">
        <f>3.6*4</f>
        <v>14.4</v>
      </c>
      <c r="F17" s="75"/>
      <c r="G17" s="98"/>
      <c r="H17" s="75"/>
      <c r="I17" s="100"/>
      <c r="J17" s="75"/>
      <c r="K17" s="268"/>
      <c r="L17" s="269"/>
      <c r="M17" s="269"/>
      <c r="N17" s="269"/>
      <c r="O17" s="269"/>
      <c r="P17" s="269"/>
      <c r="Q17" s="175"/>
      <c r="R17" s="175"/>
      <c r="S17" s="175"/>
      <c r="T17" s="175"/>
    </row>
    <row r="18" spans="1:20" ht="22.5" x14ac:dyDescent="0.2">
      <c r="A18" s="101">
        <f>IF(COUNTBLANK(B18)=1," ",COUNTA($B$14:B18))</f>
        <v>4</v>
      </c>
      <c r="B18" s="272" t="s">
        <v>93</v>
      </c>
      <c r="C18" s="267" t="s">
        <v>370</v>
      </c>
      <c r="D18" s="168" t="s">
        <v>100</v>
      </c>
      <c r="E18" s="176">
        <f t="shared" ref="E18:E22" si="0">3.6*4</f>
        <v>14.4</v>
      </c>
      <c r="F18" s="75"/>
      <c r="G18" s="98"/>
      <c r="H18" s="75"/>
      <c r="I18" s="100"/>
      <c r="J18" s="75"/>
      <c r="K18" s="268"/>
      <c r="L18" s="269"/>
      <c r="M18" s="269"/>
      <c r="N18" s="269"/>
      <c r="O18" s="269"/>
      <c r="P18" s="269"/>
      <c r="Q18" s="175"/>
      <c r="R18" s="175"/>
      <c r="S18" s="175"/>
      <c r="T18" s="175"/>
    </row>
    <row r="19" spans="1:20" ht="22.5" x14ac:dyDescent="0.2">
      <c r="A19" s="101">
        <f>IF(COUNTBLANK(B19)=1," ",COUNTA($B$14:B19))</f>
        <v>5</v>
      </c>
      <c r="B19" s="272" t="s">
        <v>93</v>
      </c>
      <c r="C19" s="272" t="s">
        <v>371</v>
      </c>
      <c r="D19" s="168" t="s">
        <v>100</v>
      </c>
      <c r="E19" s="176">
        <f t="shared" si="0"/>
        <v>14.4</v>
      </c>
      <c r="F19" s="75"/>
      <c r="G19" s="98"/>
      <c r="H19" s="75"/>
      <c r="I19" s="100"/>
      <c r="J19" s="75"/>
      <c r="K19" s="268"/>
      <c r="L19" s="269"/>
      <c r="M19" s="269"/>
      <c r="N19" s="269"/>
      <c r="O19" s="269"/>
      <c r="P19" s="269"/>
    </row>
    <row r="20" spans="1:20" x14ac:dyDescent="0.2">
      <c r="A20" s="101">
        <f>IF(COUNTBLANK(B20)=1," ",COUNTA($B$14:B20))</f>
        <v>6</v>
      </c>
      <c r="B20" s="272" t="s">
        <v>93</v>
      </c>
      <c r="C20" s="272" t="s">
        <v>372</v>
      </c>
      <c r="D20" s="168" t="s">
        <v>100</v>
      </c>
      <c r="E20" s="176">
        <f t="shared" si="0"/>
        <v>14.4</v>
      </c>
      <c r="F20" s="75"/>
      <c r="G20" s="98"/>
      <c r="H20" s="75"/>
      <c r="I20" s="100"/>
      <c r="J20" s="75"/>
      <c r="K20" s="268"/>
      <c r="L20" s="269"/>
      <c r="M20" s="269"/>
      <c r="N20" s="269"/>
      <c r="O20" s="269"/>
      <c r="P20" s="269"/>
    </row>
    <row r="21" spans="1:20" x14ac:dyDescent="0.2">
      <c r="A21" s="101">
        <f>IF(COUNTBLANK(B21)=1," ",COUNTA($B$14:B21))</f>
        <v>7</v>
      </c>
      <c r="B21" s="272" t="s">
        <v>93</v>
      </c>
      <c r="C21" s="272" t="s">
        <v>493</v>
      </c>
      <c r="D21" s="168" t="s">
        <v>100</v>
      </c>
      <c r="E21" s="176">
        <f t="shared" si="0"/>
        <v>14.4</v>
      </c>
      <c r="F21" s="75"/>
      <c r="G21" s="98"/>
      <c r="H21" s="75"/>
      <c r="I21" s="100"/>
      <c r="J21" s="75"/>
      <c r="K21" s="268"/>
      <c r="L21" s="269"/>
      <c r="M21" s="269"/>
      <c r="N21" s="269"/>
      <c r="O21" s="269"/>
      <c r="P21" s="269"/>
    </row>
    <row r="22" spans="1:20" x14ac:dyDescent="0.2">
      <c r="A22" s="101">
        <f>IF(COUNTBLANK(B22)=1," ",COUNTA($B$14:B22))</f>
        <v>8</v>
      </c>
      <c r="B22" s="272" t="s">
        <v>93</v>
      </c>
      <c r="C22" s="272" t="s">
        <v>373</v>
      </c>
      <c r="D22" s="168" t="s">
        <v>100</v>
      </c>
      <c r="E22" s="176">
        <f t="shared" si="0"/>
        <v>14.4</v>
      </c>
      <c r="F22" s="75"/>
      <c r="G22" s="98"/>
      <c r="H22" s="75"/>
      <c r="I22" s="100"/>
      <c r="J22" s="75"/>
      <c r="K22" s="268"/>
      <c r="L22" s="269"/>
      <c r="M22" s="269"/>
      <c r="N22" s="269"/>
      <c r="O22" s="269"/>
      <c r="P22" s="269"/>
    </row>
    <row r="23" spans="1:20" ht="22.5" x14ac:dyDescent="0.2">
      <c r="A23" s="101">
        <f>IF(COUNTBLANK(B23)=1," ",COUNTA($B$14:B23))</f>
        <v>9</v>
      </c>
      <c r="B23" s="272" t="s">
        <v>93</v>
      </c>
      <c r="C23" s="272" t="s">
        <v>374</v>
      </c>
      <c r="D23" s="168" t="s">
        <v>100</v>
      </c>
      <c r="E23" s="176">
        <f>15.5-1.5</f>
        <v>14</v>
      </c>
      <c r="F23" s="75"/>
      <c r="G23" s="98"/>
      <c r="H23" s="75"/>
      <c r="I23" s="100"/>
      <c r="J23" s="75"/>
      <c r="K23" s="268"/>
      <c r="L23" s="269"/>
      <c r="M23" s="269"/>
      <c r="N23" s="269"/>
      <c r="O23" s="269"/>
      <c r="P23" s="269"/>
    </row>
    <row r="24" spans="1:20" ht="22.5" x14ac:dyDescent="0.2">
      <c r="A24" s="101">
        <f>IF(COUNTBLANK(B24)=1," ",COUNTA($B$14:B24))</f>
        <v>10</v>
      </c>
      <c r="B24" s="272" t="s">
        <v>93</v>
      </c>
      <c r="C24" s="267" t="s">
        <v>375</v>
      </c>
      <c r="D24" s="168" t="s">
        <v>120</v>
      </c>
      <c r="E24" s="177">
        <f>0.05*0.05*14.4</f>
        <v>3.6000000000000011E-2</v>
      </c>
      <c r="F24" s="75"/>
      <c r="G24" s="98"/>
      <c r="H24" s="75"/>
      <c r="I24" s="100"/>
      <c r="J24" s="75"/>
      <c r="K24" s="268"/>
      <c r="L24" s="269"/>
      <c r="M24" s="269"/>
      <c r="N24" s="269"/>
      <c r="O24" s="269"/>
      <c r="P24" s="269"/>
    </row>
    <row r="25" spans="1:20" ht="22.5" x14ac:dyDescent="0.2">
      <c r="A25" s="101">
        <f>IF(COUNTBLANK(B25)=1," ",COUNTA($B$14:B25))</f>
        <v>11</v>
      </c>
      <c r="B25" s="272" t="s">
        <v>93</v>
      </c>
      <c r="C25" s="267" t="s">
        <v>376</v>
      </c>
      <c r="D25" s="168" t="s">
        <v>97</v>
      </c>
      <c r="E25" s="178">
        <f>8*4</f>
        <v>32</v>
      </c>
      <c r="F25" s="75"/>
      <c r="G25" s="98"/>
      <c r="H25" s="75"/>
      <c r="I25" s="100"/>
      <c r="J25" s="75"/>
      <c r="K25" s="268"/>
      <c r="L25" s="269"/>
      <c r="M25" s="269"/>
      <c r="N25" s="269"/>
      <c r="O25" s="269"/>
      <c r="P25" s="269"/>
    </row>
    <row r="26" spans="1:20" ht="22.5" x14ac:dyDescent="0.2">
      <c r="A26" s="101">
        <f>IF(COUNTBLANK(B26)=1," ",COUNTA($B$14:B26))</f>
        <v>12</v>
      </c>
      <c r="B26" s="272" t="s">
        <v>93</v>
      </c>
      <c r="C26" s="267" t="s">
        <v>494</v>
      </c>
      <c r="D26" s="168" t="s">
        <v>100</v>
      </c>
      <c r="E26" s="176">
        <f>4*5</f>
        <v>20</v>
      </c>
      <c r="F26" s="75"/>
      <c r="G26" s="98"/>
      <c r="H26" s="75"/>
      <c r="I26" s="100"/>
      <c r="J26" s="75"/>
      <c r="K26" s="268"/>
      <c r="L26" s="269"/>
      <c r="M26" s="269"/>
      <c r="N26" s="269"/>
      <c r="O26" s="269"/>
      <c r="P26" s="269"/>
    </row>
    <row r="27" spans="1:20" ht="22.5" x14ac:dyDescent="0.2">
      <c r="A27" s="101">
        <f>IF(COUNTBLANK(B27)=1," ",COUNTA($B$14:B27))</f>
        <v>13</v>
      </c>
      <c r="B27" s="272" t="s">
        <v>93</v>
      </c>
      <c r="C27" s="272" t="s">
        <v>495</v>
      </c>
      <c r="D27" s="168" t="s">
        <v>100</v>
      </c>
      <c r="E27" s="177">
        <f>0.3*14.4</f>
        <v>4.32</v>
      </c>
      <c r="F27" s="75"/>
      <c r="G27" s="98"/>
      <c r="H27" s="75"/>
      <c r="I27" s="100"/>
      <c r="J27" s="75"/>
      <c r="K27" s="268"/>
      <c r="L27" s="269"/>
      <c r="M27" s="269"/>
      <c r="N27" s="269"/>
      <c r="O27" s="269"/>
      <c r="P27" s="269"/>
    </row>
    <row r="28" spans="1:20" ht="22.5" x14ac:dyDescent="0.2">
      <c r="A28" s="101">
        <f>IF(COUNTBLANK(B28)=1," ",COUNTA($B$14:B28))</f>
        <v>14</v>
      </c>
      <c r="B28" s="272" t="s">
        <v>93</v>
      </c>
      <c r="C28" s="267" t="s">
        <v>377</v>
      </c>
      <c r="D28" s="168" t="s">
        <v>100</v>
      </c>
      <c r="E28" s="176">
        <f>0.5*16</f>
        <v>8</v>
      </c>
      <c r="F28" s="75"/>
      <c r="G28" s="98"/>
      <c r="H28" s="75"/>
      <c r="I28" s="100"/>
      <c r="J28" s="75"/>
      <c r="K28" s="268"/>
      <c r="L28" s="269"/>
      <c r="M28" s="269"/>
      <c r="N28" s="269"/>
      <c r="O28" s="269"/>
      <c r="P28" s="269"/>
    </row>
    <row r="29" spans="1:20" ht="33.75" x14ac:dyDescent="0.2">
      <c r="A29" s="101">
        <f>IF(COUNTBLANK(B29)=1," ",COUNTA($B$14:B29))</f>
        <v>15</v>
      </c>
      <c r="B29" s="272" t="s">
        <v>93</v>
      </c>
      <c r="C29" s="267" t="s">
        <v>378</v>
      </c>
      <c r="D29" s="168" t="s">
        <v>100</v>
      </c>
      <c r="E29" s="176">
        <f>0.25*14.4</f>
        <v>3.6</v>
      </c>
      <c r="F29" s="75"/>
      <c r="G29" s="98"/>
      <c r="H29" s="75"/>
      <c r="I29" s="100"/>
      <c r="J29" s="75"/>
      <c r="K29" s="268"/>
      <c r="L29" s="269"/>
      <c r="M29" s="269"/>
      <c r="N29" s="269"/>
      <c r="O29" s="269"/>
      <c r="P29" s="269"/>
    </row>
    <row r="30" spans="1:20" ht="22.5" x14ac:dyDescent="0.2">
      <c r="A30" s="101">
        <f>IF(COUNTBLANK(B30)=1," ",COUNTA($B$14:B30))</f>
        <v>16</v>
      </c>
      <c r="B30" s="272" t="s">
        <v>93</v>
      </c>
      <c r="C30" s="272" t="s">
        <v>496</v>
      </c>
      <c r="D30" s="168" t="s">
        <v>100</v>
      </c>
      <c r="E30" s="176">
        <f>6*4</f>
        <v>24</v>
      </c>
      <c r="F30" s="75"/>
      <c r="G30" s="98"/>
      <c r="H30" s="75"/>
      <c r="I30" s="100"/>
      <c r="J30" s="75"/>
      <c r="K30" s="268"/>
      <c r="L30" s="269"/>
      <c r="M30" s="269"/>
      <c r="N30" s="269"/>
      <c r="O30" s="269"/>
      <c r="P30" s="269"/>
    </row>
    <row r="31" spans="1:20" ht="22.5" x14ac:dyDescent="0.2">
      <c r="A31" s="101">
        <f>IF(COUNTBLANK(B31)=1," ",COUNTA($B$14:B31))</f>
        <v>17</v>
      </c>
      <c r="B31" s="272" t="s">
        <v>93</v>
      </c>
      <c r="C31" s="272" t="s">
        <v>497</v>
      </c>
      <c r="D31" s="168" t="s">
        <v>100</v>
      </c>
      <c r="E31" s="176">
        <f>6*4</f>
        <v>24</v>
      </c>
      <c r="F31" s="75"/>
      <c r="G31" s="98"/>
      <c r="H31" s="75"/>
      <c r="I31" s="100"/>
      <c r="J31" s="75"/>
      <c r="K31" s="268"/>
      <c r="L31" s="269"/>
      <c r="M31" s="269"/>
      <c r="N31" s="269"/>
      <c r="O31" s="269"/>
      <c r="P31" s="269"/>
    </row>
    <row r="32" spans="1:20" ht="22.5" x14ac:dyDescent="0.2">
      <c r="A32" s="101">
        <f>IF(COUNTBLANK(B32)=1," ",COUNTA($B$14:B32))</f>
        <v>18</v>
      </c>
      <c r="B32" s="272" t="s">
        <v>93</v>
      </c>
      <c r="C32" s="272" t="s">
        <v>498</v>
      </c>
      <c r="D32" s="168" t="s">
        <v>120</v>
      </c>
      <c r="E32" s="177">
        <f>0.15*0.12*5.5*4</f>
        <v>0.39599999999999996</v>
      </c>
      <c r="F32" s="75"/>
      <c r="G32" s="98"/>
      <c r="H32" s="75"/>
      <c r="I32" s="100"/>
      <c r="J32" s="75"/>
      <c r="K32" s="268"/>
      <c r="L32" s="269"/>
      <c r="M32" s="269"/>
      <c r="N32" s="269"/>
      <c r="O32" s="269"/>
      <c r="P32" s="269"/>
    </row>
    <row r="33" spans="1:16" ht="22.5" x14ac:dyDescent="0.2">
      <c r="A33" s="101">
        <f>IF(COUNTBLANK(B33)=1," ",COUNTA($B$14:B33))</f>
        <v>19</v>
      </c>
      <c r="B33" s="272" t="s">
        <v>93</v>
      </c>
      <c r="C33" s="272" t="s">
        <v>379</v>
      </c>
      <c r="D33" s="168" t="s">
        <v>95</v>
      </c>
      <c r="E33" s="176">
        <f>3*4</f>
        <v>12</v>
      </c>
      <c r="F33" s="75"/>
      <c r="G33" s="98"/>
      <c r="H33" s="75"/>
      <c r="I33" s="100"/>
      <c r="J33" s="75"/>
      <c r="K33" s="268"/>
      <c r="L33" s="269"/>
      <c r="M33" s="269"/>
      <c r="N33" s="269"/>
      <c r="O33" s="269"/>
      <c r="P33" s="269"/>
    </row>
    <row r="34" spans="1:16" ht="22.5" x14ac:dyDescent="0.2">
      <c r="A34" s="101">
        <f>IF(COUNTBLANK(B34)=1," ",COUNTA($B$14:B34))</f>
        <v>20</v>
      </c>
      <c r="B34" s="272" t="s">
        <v>93</v>
      </c>
      <c r="C34" s="272" t="s">
        <v>380</v>
      </c>
      <c r="D34" s="168" t="s">
        <v>95</v>
      </c>
      <c r="E34" s="176">
        <f>2.5*4</f>
        <v>10</v>
      </c>
      <c r="F34" s="75"/>
      <c r="G34" s="98"/>
      <c r="H34" s="75"/>
      <c r="I34" s="100"/>
      <c r="J34" s="75"/>
      <c r="K34" s="268"/>
      <c r="L34" s="269"/>
      <c r="M34" s="269"/>
      <c r="N34" s="269"/>
      <c r="O34" s="269"/>
      <c r="P34" s="269"/>
    </row>
    <row r="35" spans="1:16" ht="33.75" x14ac:dyDescent="0.2">
      <c r="A35" s="101">
        <f>IF(COUNTBLANK(B35)=1," ",COUNTA($B$14:B35))</f>
        <v>21</v>
      </c>
      <c r="B35" s="272" t="s">
        <v>93</v>
      </c>
      <c r="C35" s="272" t="s">
        <v>381</v>
      </c>
      <c r="D35" s="168" t="s">
        <v>95</v>
      </c>
      <c r="E35" s="176">
        <f>5.5*4</f>
        <v>22</v>
      </c>
      <c r="F35" s="75"/>
      <c r="G35" s="98"/>
      <c r="H35" s="75"/>
      <c r="I35" s="100"/>
      <c r="J35" s="75"/>
      <c r="K35" s="268"/>
      <c r="L35" s="269"/>
      <c r="M35" s="269"/>
      <c r="N35" s="269"/>
      <c r="O35" s="269"/>
      <c r="P35" s="269"/>
    </row>
    <row r="36" spans="1:16" ht="22.5" x14ac:dyDescent="0.2">
      <c r="A36" s="101">
        <f>IF(COUNTBLANK(B36)=1," ",COUNTA($B$14:B36))</f>
        <v>22</v>
      </c>
      <c r="B36" s="272" t="s">
        <v>93</v>
      </c>
      <c r="C36" s="272" t="s">
        <v>382</v>
      </c>
      <c r="D36" s="168" t="s">
        <v>95</v>
      </c>
      <c r="E36" s="176">
        <f>5.5*4</f>
        <v>22</v>
      </c>
      <c r="F36" s="75"/>
      <c r="G36" s="98"/>
      <c r="H36" s="75"/>
      <c r="I36" s="100"/>
      <c r="J36" s="75"/>
      <c r="K36" s="268"/>
      <c r="L36" s="269"/>
      <c r="M36" s="269"/>
      <c r="N36" s="269"/>
      <c r="O36" s="269"/>
      <c r="P36" s="269"/>
    </row>
    <row r="37" spans="1:16" ht="22.5" x14ac:dyDescent="0.2">
      <c r="A37" s="101">
        <f>IF(COUNTBLANK(B37)=1," ",COUNTA($B$14:B37))</f>
        <v>23</v>
      </c>
      <c r="B37" s="272" t="s">
        <v>93</v>
      </c>
      <c r="C37" s="273" t="s">
        <v>383</v>
      </c>
      <c r="D37" s="168" t="s">
        <v>97</v>
      </c>
      <c r="E37" s="168">
        <v>1</v>
      </c>
      <c r="F37" s="75"/>
      <c r="G37" s="98"/>
      <c r="H37" s="75"/>
      <c r="I37" s="100"/>
      <c r="J37" s="75"/>
      <c r="K37" s="268"/>
      <c r="L37" s="269"/>
      <c r="M37" s="269"/>
      <c r="N37" s="269"/>
      <c r="O37" s="269"/>
      <c r="P37" s="269"/>
    </row>
    <row r="38" spans="1:16" ht="22.5" x14ac:dyDescent="0.2">
      <c r="A38" s="101">
        <f>IF(COUNTBLANK(B38)=1," ",COUNTA($B$14:B38))</f>
        <v>24</v>
      </c>
      <c r="B38" s="272" t="s">
        <v>93</v>
      </c>
      <c r="C38" s="267" t="s">
        <v>384</v>
      </c>
      <c r="D38" s="168" t="s">
        <v>100</v>
      </c>
      <c r="E38" s="176">
        <f>0.4*13.5</f>
        <v>5.4</v>
      </c>
      <c r="F38" s="75"/>
      <c r="G38" s="98"/>
      <c r="H38" s="75"/>
      <c r="I38" s="100"/>
      <c r="J38" s="75"/>
      <c r="K38" s="268"/>
      <c r="L38" s="269"/>
      <c r="M38" s="269"/>
      <c r="N38" s="269"/>
      <c r="O38" s="269"/>
      <c r="P38" s="269"/>
    </row>
    <row r="39" spans="1:16" ht="33.75" x14ac:dyDescent="0.2">
      <c r="A39" s="101">
        <f>IF(COUNTBLANK(B39)=1," ",COUNTA($B$14:B39))</f>
        <v>25</v>
      </c>
      <c r="B39" s="272" t="s">
        <v>93</v>
      </c>
      <c r="C39" s="267" t="s">
        <v>385</v>
      </c>
      <c r="D39" s="168" t="s">
        <v>100</v>
      </c>
      <c r="E39" s="176">
        <v>11.2</v>
      </c>
      <c r="F39" s="75"/>
      <c r="G39" s="98"/>
      <c r="H39" s="75"/>
      <c r="I39" s="100"/>
      <c r="J39" s="75"/>
      <c r="K39" s="268"/>
      <c r="L39" s="269"/>
      <c r="M39" s="269"/>
      <c r="N39" s="269"/>
      <c r="O39" s="269"/>
      <c r="P39" s="269"/>
    </row>
    <row r="40" spans="1:16" ht="22.5" x14ac:dyDescent="0.2">
      <c r="A40" s="101">
        <f>IF(COUNTBLANK(B40)=1," ",COUNTA($B$14:B40))</f>
        <v>26</v>
      </c>
      <c r="B40" s="272" t="s">
        <v>93</v>
      </c>
      <c r="C40" s="267" t="s">
        <v>386</v>
      </c>
      <c r="D40" s="168" t="s">
        <v>100</v>
      </c>
      <c r="E40" s="176">
        <v>8.8000000000000007</v>
      </c>
      <c r="F40" s="75"/>
      <c r="G40" s="98"/>
      <c r="H40" s="75"/>
      <c r="I40" s="100"/>
      <c r="J40" s="75"/>
      <c r="K40" s="268"/>
      <c r="L40" s="269"/>
      <c r="M40" s="269"/>
      <c r="N40" s="269"/>
      <c r="O40" s="269"/>
      <c r="P40" s="269"/>
    </row>
    <row r="41" spans="1:16" x14ac:dyDescent="0.2">
      <c r="A41" s="101">
        <f>IF(COUNTBLANK(B41)=1," ",COUNTA($B$14:B41))</f>
        <v>27</v>
      </c>
      <c r="B41" s="272" t="s">
        <v>93</v>
      </c>
      <c r="C41" s="267" t="s">
        <v>499</v>
      </c>
      <c r="D41" s="168" t="s">
        <v>100</v>
      </c>
      <c r="E41" s="176">
        <v>8.8000000000000007</v>
      </c>
      <c r="F41" s="75"/>
      <c r="G41" s="98"/>
      <c r="H41" s="75"/>
      <c r="I41" s="100"/>
      <c r="J41" s="75"/>
      <c r="K41" s="268"/>
      <c r="L41" s="269"/>
      <c r="M41" s="269"/>
      <c r="N41" s="269"/>
      <c r="O41" s="269"/>
      <c r="P41" s="269"/>
    </row>
    <row r="42" spans="1:16" ht="22.5" x14ac:dyDescent="0.2">
      <c r="A42" s="101">
        <f>IF(COUNTBLANK(B42)=1," ",COUNTA($B$14:B42))</f>
        <v>28</v>
      </c>
      <c r="B42" s="272" t="s">
        <v>93</v>
      </c>
      <c r="C42" s="272" t="s">
        <v>371</v>
      </c>
      <c r="D42" s="168" t="s">
        <v>100</v>
      </c>
      <c r="E42" s="176">
        <v>8.8000000000000007</v>
      </c>
      <c r="F42" s="75"/>
      <c r="G42" s="98"/>
      <c r="H42" s="75"/>
      <c r="I42" s="100"/>
      <c r="J42" s="75"/>
      <c r="K42" s="268"/>
      <c r="L42" s="269"/>
      <c r="M42" s="269"/>
      <c r="N42" s="269"/>
      <c r="O42" s="269"/>
      <c r="P42" s="269"/>
    </row>
    <row r="43" spans="1:16" x14ac:dyDescent="0.2">
      <c r="A43" s="101">
        <f>IF(COUNTBLANK(B43)=1," ",COUNTA($B$14:B43))</f>
        <v>29</v>
      </c>
      <c r="B43" s="272" t="s">
        <v>93</v>
      </c>
      <c r="C43" s="272" t="s">
        <v>372</v>
      </c>
      <c r="D43" s="168" t="s">
        <v>100</v>
      </c>
      <c r="E43" s="176">
        <v>8.8000000000000007</v>
      </c>
      <c r="F43" s="75"/>
      <c r="G43" s="98"/>
      <c r="H43" s="75"/>
      <c r="I43" s="100"/>
      <c r="J43" s="75"/>
      <c r="K43" s="268"/>
      <c r="L43" s="269"/>
      <c r="M43" s="269"/>
      <c r="N43" s="269"/>
      <c r="O43" s="269"/>
      <c r="P43" s="269"/>
    </row>
    <row r="44" spans="1:16" x14ac:dyDescent="0.2">
      <c r="A44" s="101">
        <f>IF(COUNTBLANK(B44)=1," ",COUNTA($B$14:B44))</f>
        <v>30</v>
      </c>
      <c r="B44" s="272" t="s">
        <v>93</v>
      </c>
      <c r="C44" s="272" t="s">
        <v>493</v>
      </c>
      <c r="D44" s="168" t="s">
        <v>100</v>
      </c>
      <c r="E44" s="176">
        <v>8.8000000000000007</v>
      </c>
      <c r="F44" s="75"/>
      <c r="G44" s="98"/>
      <c r="H44" s="75"/>
      <c r="I44" s="100"/>
      <c r="J44" s="75"/>
      <c r="K44" s="268"/>
      <c r="L44" s="269"/>
      <c r="M44" s="269"/>
      <c r="N44" s="269"/>
      <c r="O44" s="269"/>
      <c r="P44" s="269"/>
    </row>
    <row r="45" spans="1:16" x14ac:dyDescent="0.2">
      <c r="A45" s="101">
        <f>IF(COUNTBLANK(B45)=1," ",COUNTA($B$14:B45))</f>
        <v>31</v>
      </c>
      <c r="B45" s="272" t="s">
        <v>93</v>
      </c>
      <c r="C45" s="272" t="s">
        <v>373</v>
      </c>
      <c r="D45" s="168" t="s">
        <v>100</v>
      </c>
      <c r="E45" s="176">
        <v>8.8000000000000007</v>
      </c>
      <c r="F45" s="75"/>
      <c r="G45" s="98"/>
      <c r="H45" s="75"/>
      <c r="I45" s="100"/>
      <c r="J45" s="75"/>
      <c r="K45" s="268"/>
      <c r="L45" s="269"/>
      <c r="M45" s="269"/>
      <c r="N45" s="269"/>
      <c r="O45" s="269"/>
      <c r="P45" s="269"/>
    </row>
    <row r="46" spans="1:16" ht="22.5" x14ac:dyDescent="0.2">
      <c r="A46" s="101">
        <f>IF(COUNTBLANK(B46)=1," ",COUNTA($B$14:B46))</f>
        <v>32</v>
      </c>
      <c r="B46" s="272" t="s">
        <v>93</v>
      </c>
      <c r="C46" s="272" t="s">
        <v>500</v>
      </c>
      <c r="D46" s="168" t="s">
        <v>100</v>
      </c>
      <c r="E46" s="176">
        <v>8.5</v>
      </c>
      <c r="F46" s="75"/>
      <c r="G46" s="98"/>
      <c r="H46" s="75"/>
      <c r="I46" s="100"/>
      <c r="J46" s="75"/>
      <c r="K46" s="268"/>
      <c r="L46" s="269"/>
      <c r="M46" s="269"/>
      <c r="N46" s="269"/>
      <c r="O46" s="269"/>
      <c r="P46" s="269"/>
    </row>
    <row r="47" spans="1:16" ht="22.5" x14ac:dyDescent="0.2">
      <c r="A47" s="101">
        <f>IF(COUNTBLANK(B47)=1," ",COUNTA($B$14:B47))</f>
        <v>33</v>
      </c>
      <c r="B47" s="272" t="s">
        <v>93</v>
      </c>
      <c r="C47" s="267" t="s">
        <v>387</v>
      </c>
      <c r="D47" s="168" t="s">
        <v>95</v>
      </c>
      <c r="E47" s="176">
        <v>3.3</v>
      </c>
      <c r="F47" s="75"/>
      <c r="G47" s="98"/>
      <c r="H47" s="75"/>
      <c r="I47" s="100"/>
      <c r="J47" s="75"/>
      <c r="K47" s="268"/>
      <c r="L47" s="269"/>
      <c r="M47" s="269"/>
      <c r="N47" s="269"/>
      <c r="O47" s="269"/>
      <c r="P47" s="269"/>
    </row>
    <row r="48" spans="1:16" x14ac:dyDescent="0.2">
      <c r="A48" s="101">
        <f>IF(COUNTBLANK(B48)=1," ",COUNTA($B$14:B48))</f>
        <v>34</v>
      </c>
      <c r="B48" s="272" t="s">
        <v>93</v>
      </c>
      <c r="C48" s="267" t="s">
        <v>388</v>
      </c>
      <c r="D48" s="168" t="s">
        <v>97</v>
      </c>
      <c r="E48" s="178">
        <v>7</v>
      </c>
      <c r="F48" s="75"/>
      <c r="G48" s="98"/>
      <c r="H48" s="75"/>
      <c r="I48" s="100"/>
      <c r="J48" s="75"/>
      <c r="K48" s="268"/>
      <c r="L48" s="269"/>
      <c r="M48" s="269"/>
      <c r="N48" s="269"/>
      <c r="O48" s="269"/>
      <c r="P48" s="269"/>
    </row>
    <row r="49" spans="1:16" ht="22.5" x14ac:dyDescent="0.2">
      <c r="A49" s="101">
        <f>IF(COUNTBLANK(B49)=1," ",COUNTA($B$14:B49))</f>
        <v>35</v>
      </c>
      <c r="B49" s="272" t="s">
        <v>93</v>
      </c>
      <c r="C49" s="267" t="s">
        <v>501</v>
      </c>
      <c r="D49" s="168" t="s">
        <v>100</v>
      </c>
      <c r="E49" s="176">
        <v>11.2</v>
      </c>
      <c r="F49" s="75"/>
      <c r="G49" s="98"/>
      <c r="H49" s="75"/>
      <c r="I49" s="100"/>
      <c r="J49" s="75"/>
      <c r="K49" s="268"/>
      <c r="L49" s="269"/>
      <c r="M49" s="269"/>
      <c r="N49" s="269"/>
      <c r="O49" s="269"/>
      <c r="P49" s="269"/>
    </row>
    <row r="50" spans="1:16" ht="22.5" x14ac:dyDescent="0.2">
      <c r="A50" s="101">
        <f>IF(COUNTBLANK(B50)=1," ",COUNTA($B$14:B50))</f>
        <v>36</v>
      </c>
      <c r="B50" s="272" t="s">
        <v>93</v>
      </c>
      <c r="C50" s="272" t="s">
        <v>502</v>
      </c>
      <c r="D50" s="168" t="s">
        <v>100</v>
      </c>
      <c r="E50" s="177">
        <f>0.3*3.3</f>
        <v>0.98999999999999988</v>
      </c>
      <c r="F50" s="75"/>
      <c r="G50" s="98"/>
      <c r="H50" s="75"/>
      <c r="I50" s="100"/>
      <c r="J50" s="75"/>
      <c r="K50" s="268"/>
      <c r="L50" s="269"/>
      <c r="M50" s="269"/>
      <c r="N50" s="269"/>
      <c r="O50" s="269"/>
      <c r="P50" s="269"/>
    </row>
    <row r="51" spans="1:16" ht="22.5" x14ac:dyDescent="0.2">
      <c r="A51" s="101">
        <f>IF(COUNTBLANK(B51)=1," ",COUNTA($B$14:B51))</f>
        <v>37</v>
      </c>
      <c r="B51" s="272" t="s">
        <v>93</v>
      </c>
      <c r="C51" s="267" t="s">
        <v>389</v>
      </c>
      <c r="D51" s="168" t="s">
        <v>100</v>
      </c>
      <c r="E51" s="177">
        <f>0.5*3.3</f>
        <v>1.65</v>
      </c>
      <c r="F51" s="75"/>
      <c r="G51" s="98"/>
      <c r="H51" s="75"/>
      <c r="I51" s="100"/>
      <c r="J51" s="75"/>
      <c r="K51" s="268"/>
      <c r="L51" s="269"/>
      <c r="M51" s="269"/>
      <c r="N51" s="269"/>
      <c r="O51" s="269"/>
      <c r="P51" s="269"/>
    </row>
    <row r="52" spans="1:16" ht="33.75" x14ac:dyDescent="0.2">
      <c r="A52" s="101">
        <f>IF(COUNTBLANK(B52)=1," ",COUNTA($B$14:B52))</f>
        <v>38</v>
      </c>
      <c r="B52" s="272" t="s">
        <v>93</v>
      </c>
      <c r="C52" s="267" t="s">
        <v>390</v>
      </c>
      <c r="D52" s="168" t="s">
        <v>100</v>
      </c>
      <c r="E52" s="176">
        <f>0.25*3.3</f>
        <v>0.82499999999999996</v>
      </c>
      <c r="F52" s="75"/>
      <c r="G52" s="98"/>
      <c r="H52" s="75"/>
      <c r="I52" s="100"/>
      <c r="J52" s="75"/>
      <c r="K52" s="268"/>
      <c r="L52" s="269"/>
      <c r="M52" s="269"/>
      <c r="N52" s="269"/>
      <c r="O52" s="269"/>
      <c r="P52" s="269"/>
    </row>
    <row r="53" spans="1:16" ht="22.5" x14ac:dyDescent="0.2">
      <c r="A53" s="101">
        <f>IF(COUNTBLANK(B53)=1," ",COUNTA($B$14:B53))</f>
        <v>39</v>
      </c>
      <c r="B53" s="272" t="s">
        <v>93</v>
      </c>
      <c r="C53" s="272" t="s">
        <v>503</v>
      </c>
      <c r="D53" s="168" t="s">
        <v>100</v>
      </c>
      <c r="E53" s="176">
        <v>12.7</v>
      </c>
      <c r="F53" s="75"/>
      <c r="G53" s="98"/>
      <c r="H53" s="75"/>
      <c r="I53" s="100"/>
      <c r="J53" s="75"/>
      <c r="K53" s="268"/>
      <c r="L53" s="269"/>
      <c r="M53" s="269"/>
      <c r="N53" s="269"/>
      <c r="O53" s="269"/>
      <c r="P53" s="269"/>
    </row>
    <row r="54" spans="1:16" ht="22.5" x14ac:dyDescent="0.2">
      <c r="A54" s="101">
        <f>IF(COUNTBLANK(B54)=1," ",COUNTA($B$14:B54))</f>
        <v>40</v>
      </c>
      <c r="B54" s="272" t="s">
        <v>93</v>
      </c>
      <c r="C54" s="272" t="s">
        <v>497</v>
      </c>
      <c r="D54" s="168" t="s">
        <v>100</v>
      </c>
      <c r="E54" s="176">
        <v>12.7</v>
      </c>
      <c r="F54" s="75"/>
      <c r="G54" s="98"/>
      <c r="H54" s="75"/>
      <c r="I54" s="100"/>
      <c r="J54" s="75"/>
      <c r="K54" s="268"/>
      <c r="L54" s="269"/>
      <c r="M54" s="269"/>
      <c r="N54" s="269"/>
      <c r="O54" s="269"/>
      <c r="P54" s="269"/>
    </row>
    <row r="55" spans="1:16" ht="22.5" x14ac:dyDescent="0.2">
      <c r="A55" s="101">
        <f>IF(COUNTBLANK(B55)=1," ",COUNTA($B$14:B55))</f>
        <v>41</v>
      </c>
      <c r="B55" s="272" t="s">
        <v>93</v>
      </c>
      <c r="C55" s="272" t="s">
        <v>504</v>
      </c>
      <c r="D55" s="168" t="s">
        <v>120</v>
      </c>
      <c r="E55" s="177">
        <f>0.15*0.12*10.2</f>
        <v>0.18359999999999999</v>
      </c>
      <c r="F55" s="75"/>
      <c r="G55" s="98"/>
      <c r="H55" s="75"/>
      <c r="I55" s="100"/>
      <c r="J55" s="75"/>
      <c r="K55" s="268"/>
      <c r="L55" s="269"/>
      <c r="M55" s="269"/>
      <c r="N55" s="269"/>
      <c r="O55" s="269"/>
      <c r="P55" s="269"/>
    </row>
    <row r="56" spans="1:16" ht="22.5" x14ac:dyDescent="0.2">
      <c r="A56" s="101">
        <f>IF(COUNTBLANK(B56)=1," ",COUNTA($B$14:B56))</f>
        <v>42</v>
      </c>
      <c r="B56" s="272" t="s">
        <v>93</v>
      </c>
      <c r="C56" s="272" t="s">
        <v>391</v>
      </c>
      <c r="D56" s="168" t="s">
        <v>95</v>
      </c>
      <c r="E56" s="176">
        <v>10.199999999999999</v>
      </c>
      <c r="F56" s="75"/>
      <c r="G56" s="98"/>
      <c r="H56" s="75"/>
      <c r="I56" s="100"/>
      <c r="J56" s="75"/>
      <c r="K56" s="268"/>
      <c r="L56" s="269"/>
      <c r="M56" s="269"/>
      <c r="N56" s="269"/>
      <c r="O56" s="269"/>
      <c r="P56" s="269"/>
    </row>
    <row r="57" spans="1:16" ht="22.5" x14ac:dyDescent="0.2">
      <c r="A57" s="101">
        <f>IF(COUNTBLANK(B57)=1," ",COUNTA($B$14:B57))</f>
        <v>43</v>
      </c>
      <c r="B57" s="272" t="s">
        <v>93</v>
      </c>
      <c r="C57" s="272" t="s">
        <v>392</v>
      </c>
      <c r="D57" s="168" t="s">
        <v>95</v>
      </c>
      <c r="E57" s="176">
        <v>10.199999999999999</v>
      </c>
      <c r="F57" s="75"/>
      <c r="G57" s="98"/>
      <c r="H57" s="75"/>
      <c r="I57" s="100"/>
      <c r="J57" s="75"/>
      <c r="K57" s="268"/>
      <c r="L57" s="269"/>
      <c r="M57" s="269"/>
      <c r="N57" s="269"/>
      <c r="O57" s="269"/>
      <c r="P57" s="269"/>
    </row>
    <row r="58" spans="1:16" ht="22.5" x14ac:dyDescent="0.2">
      <c r="A58" s="101">
        <f>IF(COUNTBLANK(B58)=1," ",COUNTA($B$14:B58))</f>
        <v>44</v>
      </c>
      <c r="B58" s="272" t="s">
        <v>93</v>
      </c>
      <c r="C58" s="272" t="s">
        <v>393</v>
      </c>
      <c r="D58" s="168" t="s">
        <v>95</v>
      </c>
      <c r="E58" s="176">
        <v>10.199999999999999</v>
      </c>
      <c r="F58" s="75"/>
      <c r="G58" s="98"/>
      <c r="H58" s="75"/>
      <c r="I58" s="100"/>
      <c r="J58" s="75"/>
      <c r="K58" s="268"/>
      <c r="L58" s="269"/>
      <c r="M58" s="269"/>
      <c r="N58" s="269"/>
      <c r="O58" s="269"/>
      <c r="P58" s="269"/>
    </row>
    <row r="59" spans="1:16" ht="22.5" x14ac:dyDescent="0.2">
      <c r="A59" s="101" t="str">
        <f>IF(COUNTBLANK(B59)=1," ",COUNTA($B$14:B59))</f>
        <v xml:space="preserve"> </v>
      </c>
      <c r="B59" s="272"/>
      <c r="C59" s="273" t="s">
        <v>394</v>
      </c>
      <c r="D59" s="168"/>
      <c r="E59" s="168"/>
      <c r="F59" s="75"/>
      <c r="G59" s="98"/>
      <c r="H59" s="75"/>
      <c r="I59" s="100"/>
      <c r="J59" s="75"/>
      <c r="K59" s="268"/>
      <c r="L59" s="269"/>
      <c r="M59" s="269"/>
      <c r="N59" s="269"/>
      <c r="O59" s="269"/>
      <c r="P59" s="269"/>
    </row>
    <row r="60" spans="1:16" ht="56.25" x14ac:dyDescent="0.2">
      <c r="A60" s="101">
        <f>IF(COUNTBLANK(B60)=1," ",COUNTA($B$14:B60))</f>
        <v>45</v>
      </c>
      <c r="B60" s="272" t="s">
        <v>93</v>
      </c>
      <c r="C60" s="267" t="s">
        <v>395</v>
      </c>
      <c r="D60" s="168" t="s">
        <v>97</v>
      </c>
      <c r="E60" s="178">
        <v>35</v>
      </c>
      <c r="F60" s="75"/>
      <c r="G60" s="98"/>
      <c r="H60" s="75"/>
      <c r="I60" s="100"/>
      <c r="J60" s="75"/>
      <c r="K60" s="268"/>
      <c r="L60" s="269"/>
      <c r="M60" s="269"/>
      <c r="N60" s="269"/>
      <c r="O60" s="269"/>
      <c r="P60" s="269"/>
    </row>
    <row r="61" spans="1:16" x14ac:dyDescent="0.2">
      <c r="A61" s="101" t="str">
        <f>IF(COUNTBLANK(B61)=1," ",COUNTA($B$14:B61))</f>
        <v xml:space="preserve"> </v>
      </c>
      <c r="B61" s="272"/>
      <c r="C61" s="267" t="s">
        <v>396</v>
      </c>
      <c r="D61" s="168"/>
      <c r="E61" s="178"/>
      <c r="F61" s="75"/>
      <c r="G61" s="98"/>
      <c r="H61" s="75"/>
      <c r="I61" s="100"/>
      <c r="J61" s="75"/>
      <c r="K61" s="268"/>
      <c r="L61" s="269"/>
      <c r="M61" s="269"/>
      <c r="N61" s="269"/>
      <c r="O61" s="269"/>
      <c r="P61" s="269"/>
    </row>
    <row r="62" spans="1:16" ht="22.5" x14ac:dyDescent="0.2">
      <c r="A62" s="101">
        <f>IF(COUNTBLANK(B62)=1," ",COUNTA($B$14:B62))</f>
        <v>46</v>
      </c>
      <c r="B62" s="272" t="s">
        <v>93</v>
      </c>
      <c r="C62" s="267" t="s">
        <v>397</v>
      </c>
      <c r="D62" s="168" t="s">
        <v>120</v>
      </c>
      <c r="E62" s="176">
        <f>0.25*2.2*3.1</f>
        <v>1.7050000000000003</v>
      </c>
      <c r="F62" s="75"/>
      <c r="G62" s="98"/>
      <c r="H62" s="75"/>
      <c r="I62" s="100"/>
      <c r="J62" s="75"/>
      <c r="K62" s="268"/>
      <c r="L62" s="269"/>
      <c r="M62" s="269"/>
      <c r="N62" s="269"/>
      <c r="O62" s="269"/>
      <c r="P62" s="269"/>
    </row>
    <row r="63" spans="1:16" ht="22.5" x14ac:dyDescent="0.2">
      <c r="A63" s="101">
        <f>IF(COUNTBLANK(B63)=1," ",COUNTA($B$14:B63))</f>
        <v>47</v>
      </c>
      <c r="B63" s="272" t="s">
        <v>93</v>
      </c>
      <c r="C63" s="267" t="s">
        <v>398</v>
      </c>
      <c r="D63" s="168" t="s">
        <v>120</v>
      </c>
      <c r="E63" s="176">
        <f>0.15*5.3</f>
        <v>0.79499999999999993</v>
      </c>
      <c r="F63" s="75"/>
      <c r="G63" s="98"/>
      <c r="H63" s="75"/>
      <c r="I63" s="100"/>
      <c r="J63" s="75"/>
      <c r="K63" s="268"/>
      <c r="L63" s="269"/>
      <c r="M63" s="269"/>
      <c r="N63" s="269"/>
      <c r="O63" s="269"/>
      <c r="P63" s="269"/>
    </row>
    <row r="64" spans="1:16" ht="22.5" x14ac:dyDescent="0.2">
      <c r="A64" s="101">
        <f>IF(COUNTBLANK(B64)=1," ",COUNTA($B$14:B64))</f>
        <v>48</v>
      </c>
      <c r="B64" s="272" t="s">
        <v>93</v>
      </c>
      <c r="C64" s="267" t="s">
        <v>399</v>
      </c>
      <c r="D64" s="168" t="s">
        <v>120</v>
      </c>
      <c r="E64" s="176">
        <v>0.5</v>
      </c>
      <c r="F64" s="75"/>
      <c r="G64" s="98"/>
      <c r="H64" s="75"/>
      <c r="I64" s="100"/>
      <c r="J64" s="75"/>
      <c r="K64" s="268"/>
      <c r="L64" s="269"/>
      <c r="M64" s="269"/>
      <c r="N64" s="269"/>
      <c r="O64" s="269"/>
      <c r="P64" s="269"/>
    </row>
    <row r="65" spans="1:16" ht="22.5" x14ac:dyDescent="0.2">
      <c r="A65" s="101">
        <f>IF(COUNTBLANK(B65)=1," ",COUNTA($B$14:B65))</f>
        <v>49</v>
      </c>
      <c r="B65" s="272" t="s">
        <v>93</v>
      </c>
      <c r="C65" s="267" t="s">
        <v>400</v>
      </c>
      <c r="D65" s="168" t="s">
        <v>120</v>
      </c>
      <c r="E65" s="176">
        <v>0.5</v>
      </c>
      <c r="F65" s="75"/>
      <c r="G65" s="98"/>
      <c r="H65" s="75"/>
      <c r="I65" s="100"/>
      <c r="J65" s="75"/>
      <c r="K65" s="268"/>
      <c r="L65" s="269"/>
      <c r="M65" s="269"/>
      <c r="N65" s="269"/>
      <c r="O65" s="269"/>
      <c r="P65" s="269"/>
    </row>
    <row r="66" spans="1:16" ht="22.5" x14ac:dyDescent="0.2">
      <c r="A66" s="101">
        <f>IF(COUNTBLANK(B66)=1," ",COUNTA($B$14:B66))</f>
        <v>50</v>
      </c>
      <c r="B66" s="272" t="s">
        <v>93</v>
      </c>
      <c r="C66" s="267" t="s">
        <v>401</v>
      </c>
      <c r="D66" s="168" t="s">
        <v>100</v>
      </c>
      <c r="E66" s="176">
        <v>1</v>
      </c>
      <c r="F66" s="75"/>
      <c r="G66" s="98"/>
      <c r="H66" s="75"/>
      <c r="I66" s="100"/>
      <c r="J66" s="75"/>
      <c r="K66" s="268"/>
      <c r="L66" s="269"/>
      <c r="M66" s="269"/>
      <c r="N66" s="269"/>
      <c r="O66" s="269"/>
      <c r="P66" s="269"/>
    </row>
    <row r="67" spans="1:16" ht="22.5" x14ac:dyDescent="0.2">
      <c r="A67" s="101">
        <f>IF(COUNTBLANK(B67)=1," ",COUNTA($B$14:B67))</f>
        <v>51</v>
      </c>
      <c r="B67" s="272" t="s">
        <v>93</v>
      </c>
      <c r="C67" s="267" t="s">
        <v>505</v>
      </c>
      <c r="D67" s="168" t="s">
        <v>120</v>
      </c>
      <c r="E67" s="176">
        <f>0.25*2.2*3.1</f>
        <v>1.7050000000000003</v>
      </c>
      <c r="F67" s="75"/>
      <c r="G67" s="98"/>
      <c r="H67" s="75"/>
      <c r="I67" s="100"/>
      <c r="J67" s="75"/>
      <c r="K67" s="268"/>
      <c r="L67" s="269"/>
      <c r="M67" s="269"/>
      <c r="N67" s="269"/>
      <c r="O67" s="269"/>
      <c r="P67" s="269"/>
    </row>
    <row r="68" spans="1:16" x14ac:dyDescent="0.2">
      <c r="A68" s="101" t="str">
        <f>IF(COUNTBLANK(B68)=1," ",COUNTA($B$14:B68))</f>
        <v xml:space="preserve"> </v>
      </c>
      <c r="B68" s="272"/>
      <c r="C68" s="267" t="s">
        <v>402</v>
      </c>
      <c r="D68" s="168"/>
      <c r="E68" s="176"/>
      <c r="F68" s="75"/>
      <c r="G68" s="98"/>
      <c r="H68" s="75"/>
      <c r="I68" s="100"/>
      <c r="J68" s="75"/>
      <c r="K68" s="268"/>
      <c r="L68" s="269"/>
      <c r="M68" s="269"/>
      <c r="N68" s="269"/>
      <c r="O68" s="269"/>
      <c r="P68" s="269"/>
    </row>
    <row r="69" spans="1:16" ht="22.5" x14ac:dyDescent="0.2">
      <c r="A69" s="101">
        <f>IF(COUNTBLANK(B69)=1," ",COUNTA($B$14:B69))</f>
        <v>52</v>
      </c>
      <c r="B69" s="272" t="s">
        <v>93</v>
      </c>
      <c r="C69" s="267" t="s">
        <v>403</v>
      </c>
      <c r="D69" s="168" t="s">
        <v>100</v>
      </c>
      <c r="E69" s="176">
        <v>13.6</v>
      </c>
      <c r="F69" s="75"/>
      <c r="G69" s="98"/>
      <c r="H69" s="75"/>
      <c r="I69" s="100"/>
      <c r="J69" s="75"/>
      <c r="K69" s="268"/>
      <c r="L69" s="269"/>
      <c r="M69" s="269"/>
      <c r="N69" s="269"/>
      <c r="O69" s="269"/>
      <c r="P69" s="269"/>
    </row>
    <row r="70" spans="1:16" ht="22.5" x14ac:dyDescent="0.2">
      <c r="A70" s="101">
        <f>IF(COUNTBLANK(B70)=1," ",COUNTA($B$14:B70))</f>
        <v>53</v>
      </c>
      <c r="B70" s="272" t="s">
        <v>93</v>
      </c>
      <c r="C70" s="267" t="s">
        <v>404</v>
      </c>
      <c r="D70" s="168" t="s">
        <v>120</v>
      </c>
      <c r="E70" s="176">
        <f>0.18*1.4*3.3</f>
        <v>0.83160000000000001</v>
      </c>
      <c r="F70" s="75"/>
      <c r="G70" s="98"/>
      <c r="H70" s="75"/>
      <c r="I70" s="100"/>
      <c r="J70" s="75"/>
      <c r="K70" s="268"/>
      <c r="L70" s="269"/>
      <c r="M70" s="269"/>
      <c r="N70" s="269"/>
      <c r="O70" s="269"/>
      <c r="P70" s="269"/>
    </row>
    <row r="71" spans="1:16" ht="22.5" x14ac:dyDescent="0.2">
      <c r="A71" s="101">
        <f>IF(COUNTBLANK(B71)=1," ",COUNTA($B$14:B71))</f>
        <v>54</v>
      </c>
      <c r="B71" s="272" t="s">
        <v>93</v>
      </c>
      <c r="C71" s="267" t="s">
        <v>405</v>
      </c>
      <c r="D71" s="168" t="s">
        <v>100</v>
      </c>
      <c r="E71" s="176">
        <f>0.12*5.3</f>
        <v>0.63600000000000001</v>
      </c>
      <c r="F71" s="75"/>
      <c r="G71" s="98"/>
      <c r="H71" s="75"/>
      <c r="I71" s="100"/>
      <c r="J71" s="75"/>
      <c r="K71" s="268"/>
      <c r="L71" s="269"/>
      <c r="M71" s="269"/>
      <c r="N71" s="269"/>
      <c r="O71" s="269"/>
      <c r="P71" s="269"/>
    </row>
    <row r="72" spans="1:16" x14ac:dyDescent="0.2">
      <c r="A72" s="101">
        <f>IF(COUNTBLANK(B72)=1," ",COUNTA($B$14:B72))</f>
        <v>55</v>
      </c>
      <c r="B72" s="272" t="s">
        <v>93</v>
      </c>
      <c r="C72" s="267" t="s">
        <v>406</v>
      </c>
      <c r="D72" s="168" t="s">
        <v>100</v>
      </c>
      <c r="E72" s="176">
        <v>4</v>
      </c>
      <c r="F72" s="75"/>
      <c r="G72" s="98"/>
      <c r="H72" s="75"/>
      <c r="I72" s="100"/>
      <c r="J72" s="75"/>
      <c r="K72" s="268"/>
      <c r="L72" s="269"/>
      <c r="M72" s="269"/>
      <c r="N72" s="269"/>
      <c r="O72" s="269"/>
      <c r="P72" s="269"/>
    </row>
    <row r="73" spans="1:16" ht="22.5" x14ac:dyDescent="0.2">
      <c r="A73" s="101">
        <f>IF(COUNTBLANK(B73)=1," ",COUNTA($B$14:B73))</f>
        <v>56</v>
      </c>
      <c r="B73" s="272" t="s">
        <v>93</v>
      </c>
      <c r="C73" s="273" t="s">
        <v>407</v>
      </c>
      <c r="D73" s="168" t="s">
        <v>97</v>
      </c>
      <c r="E73" s="178">
        <v>5</v>
      </c>
      <c r="F73" s="75"/>
      <c r="G73" s="98"/>
      <c r="H73" s="75"/>
      <c r="I73" s="100"/>
      <c r="J73" s="75"/>
      <c r="K73" s="268"/>
      <c r="L73" s="269"/>
      <c r="M73" s="269"/>
      <c r="N73" s="269"/>
      <c r="O73" s="269"/>
      <c r="P73" s="269"/>
    </row>
    <row r="74" spans="1:16" ht="22.5" x14ac:dyDescent="0.2">
      <c r="A74" s="101">
        <f>IF(COUNTBLANK(B74)=1," ",COUNTA($B$14:B74))</f>
        <v>57</v>
      </c>
      <c r="B74" s="272" t="s">
        <v>93</v>
      </c>
      <c r="C74" s="272" t="s">
        <v>408</v>
      </c>
      <c r="D74" s="274" t="s">
        <v>100</v>
      </c>
      <c r="E74" s="179">
        <f>5*1.4</f>
        <v>7</v>
      </c>
      <c r="F74" s="75"/>
      <c r="G74" s="98"/>
      <c r="H74" s="75"/>
      <c r="I74" s="100"/>
      <c r="J74" s="75"/>
      <c r="K74" s="268"/>
      <c r="L74" s="269"/>
      <c r="M74" s="269"/>
      <c r="N74" s="269"/>
      <c r="O74" s="269"/>
      <c r="P74" s="269"/>
    </row>
    <row r="75" spans="1:16" x14ac:dyDescent="0.2">
      <c r="A75" s="101">
        <f>IF(COUNTBLANK(B75)=1," ",COUNTA($B$14:B75))</f>
        <v>58</v>
      </c>
      <c r="B75" s="272" t="s">
        <v>93</v>
      </c>
      <c r="C75" s="281" t="s">
        <v>409</v>
      </c>
      <c r="D75" s="274" t="s">
        <v>100</v>
      </c>
      <c r="E75" s="179">
        <f>5*1.4</f>
        <v>7</v>
      </c>
      <c r="F75" s="75"/>
      <c r="G75" s="98"/>
      <c r="H75" s="75"/>
      <c r="I75" s="100"/>
      <c r="J75" s="75"/>
      <c r="K75" s="268"/>
      <c r="L75" s="269"/>
      <c r="M75" s="269"/>
      <c r="N75" s="269"/>
      <c r="O75" s="269"/>
      <c r="P75" s="269"/>
    </row>
    <row r="76" spans="1:16" ht="22.5" x14ac:dyDescent="0.2">
      <c r="A76" s="101">
        <f>IF(COUNTBLANK(B76)=1," ",COUNTA($B$14:B76))</f>
        <v>59</v>
      </c>
      <c r="B76" s="272" t="s">
        <v>93</v>
      </c>
      <c r="C76" s="272" t="s">
        <v>410</v>
      </c>
      <c r="D76" s="274" t="s">
        <v>97</v>
      </c>
      <c r="E76" s="178">
        <v>5</v>
      </c>
      <c r="F76" s="75"/>
      <c r="G76" s="98"/>
      <c r="H76" s="75"/>
      <c r="I76" s="100"/>
      <c r="J76" s="75"/>
      <c r="K76" s="268"/>
      <c r="L76" s="269"/>
      <c r="M76" s="269"/>
      <c r="N76" s="269"/>
      <c r="O76" s="269"/>
      <c r="P76" s="269"/>
    </row>
    <row r="77" spans="1:16" x14ac:dyDescent="0.2">
      <c r="A77" s="101">
        <f>IF(COUNTBLANK(B77)=1," ",COUNTA($B$14:B77))</f>
        <v>60</v>
      </c>
      <c r="B77" s="272" t="s">
        <v>93</v>
      </c>
      <c r="C77" s="281" t="s">
        <v>411</v>
      </c>
      <c r="D77" s="274" t="s">
        <v>100</v>
      </c>
      <c r="E77" s="179">
        <f>10*5</f>
        <v>50</v>
      </c>
      <c r="F77" s="75"/>
      <c r="G77" s="98"/>
      <c r="H77" s="75"/>
      <c r="I77" s="100"/>
      <c r="J77" s="75"/>
      <c r="K77" s="268"/>
      <c r="L77" s="269"/>
      <c r="M77" s="269"/>
      <c r="N77" s="269"/>
      <c r="O77" s="269"/>
      <c r="P77" s="269"/>
    </row>
    <row r="78" spans="1:16" ht="22.5" x14ac:dyDescent="0.2">
      <c r="A78" s="101">
        <f>IF(COUNTBLANK(B78)=1," ",COUNTA($B$14:B78))</f>
        <v>61</v>
      </c>
      <c r="B78" s="272" t="s">
        <v>93</v>
      </c>
      <c r="C78" s="272" t="s">
        <v>412</v>
      </c>
      <c r="D78" s="274" t="s">
        <v>100</v>
      </c>
      <c r="E78" s="179">
        <v>3.5</v>
      </c>
      <c r="F78" s="75"/>
      <c r="G78" s="98"/>
      <c r="H78" s="75"/>
      <c r="I78" s="100"/>
      <c r="J78" s="75"/>
      <c r="K78" s="268"/>
      <c r="L78" s="269"/>
      <c r="M78" s="269"/>
      <c r="N78" s="269"/>
      <c r="O78" s="269"/>
      <c r="P78" s="269"/>
    </row>
    <row r="79" spans="1:16" ht="22.5" x14ac:dyDescent="0.2">
      <c r="A79" s="101">
        <f>IF(COUNTBLANK(B79)=1," ",COUNTA($B$14:B79))</f>
        <v>62</v>
      </c>
      <c r="B79" s="272" t="s">
        <v>93</v>
      </c>
      <c r="C79" s="272" t="s">
        <v>413</v>
      </c>
      <c r="D79" s="274" t="s">
        <v>100</v>
      </c>
      <c r="E79" s="179">
        <v>3.5</v>
      </c>
      <c r="F79" s="75"/>
      <c r="G79" s="98"/>
      <c r="H79" s="75"/>
      <c r="I79" s="100"/>
      <c r="J79" s="75"/>
      <c r="K79" s="268"/>
      <c r="L79" s="269"/>
      <c r="M79" s="269"/>
      <c r="N79" s="269"/>
      <c r="O79" s="269"/>
      <c r="P79" s="269"/>
    </row>
    <row r="80" spans="1:16" ht="22.5" x14ac:dyDescent="0.2">
      <c r="A80" s="101">
        <f>IF(COUNTBLANK(B80)=1," ",COUNTA($B$14:B80))</f>
        <v>63</v>
      </c>
      <c r="B80" s="272" t="s">
        <v>93</v>
      </c>
      <c r="C80" s="272" t="s">
        <v>414</v>
      </c>
      <c r="D80" s="274" t="s">
        <v>100</v>
      </c>
      <c r="E80" s="179">
        <f>5*3.6</f>
        <v>18</v>
      </c>
      <c r="F80" s="75"/>
      <c r="G80" s="98"/>
      <c r="H80" s="75"/>
      <c r="I80" s="100"/>
      <c r="J80" s="75"/>
      <c r="K80" s="268"/>
      <c r="L80" s="269"/>
      <c r="M80" s="269"/>
      <c r="N80" s="269"/>
      <c r="O80" s="269"/>
      <c r="P80" s="269"/>
    </row>
    <row r="81" spans="1:16" x14ac:dyDescent="0.2">
      <c r="A81" s="101">
        <f>IF(COUNTBLANK(B81)=1," ",COUNTA($B$14:B81))</f>
        <v>64</v>
      </c>
      <c r="B81" s="272" t="s">
        <v>93</v>
      </c>
      <c r="C81" s="272" t="s">
        <v>506</v>
      </c>
      <c r="D81" s="274" t="s">
        <v>100</v>
      </c>
      <c r="E81" s="179">
        <f>5*3.6</f>
        <v>18</v>
      </c>
      <c r="F81" s="75"/>
      <c r="G81" s="98"/>
      <c r="H81" s="75"/>
      <c r="I81" s="100"/>
      <c r="J81" s="75"/>
      <c r="K81" s="268"/>
      <c r="L81" s="269"/>
      <c r="M81" s="269"/>
      <c r="N81" s="269"/>
      <c r="O81" s="269"/>
      <c r="P81" s="269"/>
    </row>
    <row r="82" spans="1:16" ht="22.5" x14ac:dyDescent="0.2">
      <c r="A82" s="101">
        <f>IF(COUNTBLANK(B82)=1," ",COUNTA($B$14:B82))</f>
        <v>65</v>
      </c>
      <c r="B82" s="272" t="s">
        <v>93</v>
      </c>
      <c r="C82" s="272" t="s">
        <v>415</v>
      </c>
      <c r="D82" s="274" t="s">
        <v>100</v>
      </c>
      <c r="E82" s="179">
        <f>0.6*5</f>
        <v>3</v>
      </c>
      <c r="F82" s="75"/>
      <c r="G82" s="98"/>
      <c r="H82" s="75"/>
      <c r="I82" s="100"/>
      <c r="J82" s="75"/>
      <c r="K82" s="268"/>
      <c r="L82" s="269"/>
      <c r="M82" s="269"/>
      <c r="N82" s="269"/>
      <c r="O82" s="269"/>
      <c r="P82" s="269"/>
    </row>
    <row r="83" spans="1:16" ht="12" thickBot="1" x14ac:dyDescent="0.25">
      <c r="A83" s="360" t="s">
        <v>545</v>
      </c>
      <c r="B83" s="361"/>
      <c r="C83" s="361"/>
      <c r="D83" s="361"/>
      <c r="E83" s="361"/>
      <c r="F83" s="361"/>
      <c r="G83" s="361"/>
      <c r="H83" s="361"/>
      <c r="I83" s="361"/>
      <c r="J83" s="361"/>
      <c r="K83" s="362"/>
      <c r="L83" s="226">
        <f>SUM(L14:L82)</f>
        <v>0</v>
      </c>
      <c r="M83" s="238">
        <f>SUM(M14:M82)</f>
        <v>0</v>
      </c>
      <c r="N83" s="238">
        <f>SUM(N14:N82)</f>
        <v>0</v>
      </c>
      <c r="O83" s="238">
        <f>SUM(O14:O82)</f>
        <v>0</v>
      </c>
      <c r="P83" s="239">
        <f>SUM(P14:P82)</f>
        <v>0</v>
      </c>
    </row>
    <row r="84" spans="1:16" x14ac:dyDescent="0.2">
      <c r="A84" s="173"/>
      <c r="B84" s="173"/>
      <c r="C84" s="173"/>
      <c r="D84" s="173"/>
      <c r="E84" s="173"/>
      <c r="F84" s="173"/>
      <c r="G84" s="173"/>
      <c r="H84" s="173"/>
      <c r="I84" s="173"/>
      <c r="J84" s="173"/>
      <c r="K84" s="173"/>
      <c r="L84" s="173"/>
      <c r="M84" s="173"/>
      <c r="N84" s="173"/>
      <c r="O84" s="173"/>
      <c r="P84" s="173"/>
    </row>
    <row r="85" spans="1:16" x14ac:dyDescent="0.2">
      <c r="A85" s="173"/>
      <c r="B85" s="173"/>
      <c r="C85" s="173"/>
      <c r="D85" s="173"/>
      <c r="E85" s="173"/>
      <c r="F85" s="173"/>
      <c r="G85" s="173"/>
      <c r="H85" s="173"/>
      <c r="I85" s="173"/>
      <c r="J85" s="173"/>
      <c r="K85" s="173"/>
      <c r="L85" s="173"/>
      <c r="M85" s="173"/>
      <c r="N85" s="173"/>
      <c r="O85" s="173"/>
      <c r="P85" s="173"/>
    </row>
    <row r="86" spans="1:16" x14ac:dyDescent="0.2">
      <c r="A86" s="174" t="s">
        <v>14</v>
      </c>
      <c r="B86" s="173"/>
      <c r="C86" s="358">
        <f>'Kops a'!C34:H34</f>
        <v>0</v>
      </c>
      <c r="D86" s="358"/>
      <c r="E86" s="358"/>
      <c r="F86" s="358"/>
      <c r="G86" s="358"/>
      <c r="H86" s="358"/>
      <c r="I86" s="173"/>
      <c r="J86" s="173"/>
      <c r="K86" s="173"/>
      <c r="L86" s="173"/>
      <c r="M86" s="173"/>
      <c r="N86" s="173"/>
      <c r="O86" s="173"/>
      <c r="P86" s="173"/>
    </row>
    <row r="87" spans="1:16" x14ac:dyDescent="0.2">
      <c r="A87" s="173"/>
      <c r="B87" s="173"/>
      <c r="C87" s="359" t="s">
        <v>15</v>
      </c>
      <c r="D87" s="359"/>
      <c r="E87" s="359"/>
      <c r="F87" s="359"/>
      <c r="G87" s="359"/>
      <c r="H87" s="359"/>
      <c r="I87" s="173"/>
      <c r="J87" s="173"/>
      <c r="K87" s="173"/>
      <c r="L87" s="173"/>
      <c r="M87" s="173"/>
      <c r="N87" s="173"/>
      <c r="O87" s="173"/>
      <c r="P87" s="173"/>
    </row>
    <row r="88" spans="1:16" x14ac:dyDescent="0.2">
      <c r="A88" s="173"/>
      <c r="B88" s="173"/>
      <c r="C88" s="173"/>
      <c r="D88" s="173"/>
      <c r="E88" s="173"/>
      <c r="F88" s="173"/>
      <c r="G88" s="173"/>
      <c r="H88" s="173"/>
      <c r="I88" s="173"/>
      <c r="J88" s="173"/>
      <c r="K88" s="173"/>
      <c r="L88" s="173"/>
      <c r="M88" s="173"/>
      <c r="N88" s="173"/>
      <c r="O88" s="173"/>
      <c r="P88" s="173"/>
    </row>
    <row r="89" spans="1:16" x14ac:dyDescent="0.2">
      <c r="A89" s="227" t="str">
        <f>'Kops a'!A37</f>
        <v>Tāme sastādīta 2021. gada</v>
      </c>
      <c r="B89" s="228"/>
      <c r="C89" s="228"/>
      <c r="D89" s="228"/>
      <c r="E89" s="173"/>
      <c r="F89" s="173"/>
      <c r="G89" s="173"/>
      <c r="H89" s="173"/>
      <c r="I89" s="173"/>
      <c r="J89" s="173"/>
      <c r="K89" s="173"/>
      <c r="L89" s="173"/>
      <c r="M89" s="173"/>
      <c r="N89" s="173"/>
      <c r="O89" s="173"/>
      <c r="P89" s="173"/>
    </row>
    <row r="90" spans="1:16" x14ac:dyDescent="0.2">
      <c r="A90" s="173"/>
      <c r="B90" s="173"/>
      <c r="C90" s="173"/>
      <c r="D90" s="173"/>
      <c r="E90" s="173"/>
      <c r="F90" s="173"/>
      <c r="G90" s="173"/>
      <c r="H90" s="173"/>
      <c r="I90" s="173"/>
      <c r="J90" s="173"/>
      <c r="K90" s="173"/>
      <c r="L90" s="173"/>
      <c r="M90" s="173"/>
      <c r="N90" s="173"/>
      <c r="O90" s="173"/>
      <c r="P90" s="173"/>
    </row>
    <row r="91" spans="1:16" x14ac:dyDescent="0.2">
      <c r="A91" s="174" t="s">
        <v>37</v>
      </c>
      <c r="B91" s="173"/>
      <c r="C91" s="358">
        <f>'Kops a'!C39:H39</f>
        <v>0</v>
      </c>
      <c r="D91" s="358"/>
      <c r="E91" s="358"/>
      <c r="F91" s="358"/>
      <c r="G91" s="358"/>
      <c r="H91" s="358"/>
      <c r="I91" s="173"/>
      <c r="J91" s="173"/>
      <c r="K91" s="173"/>
      <c r="L91" s="173"/>
      <c r="M91" s="173"/>
      <c r="N91" s="173"/>
      <c r="O91" s="173"/>
      <c r="P91" s="173"/>
    </row>
    <row r="92" spans="1:16" x14ac:dyDescent="0.2">
      <c r="A92" s="173"/>
      <c r="B92" s="173"/>
      <c r="C92" s="359" t="s">
        <v>15</v>
      </c>
      <c r="D92" s="359"/>
      <c r="E92" s="359"/>
      <c r="F92" s="359"/>
      <c r="G92" s="359"/>
      <c r="H92" s="359"/>
      <c r="I92" s="173"/>
      <c r="J92" s="173"/>
      <c r="K92" s="173"/>
      <c r="L92" s="173"/>
      <c r="M92" s="173"/>
      <c r="N92" s="173"/>
      <c r="O92" s="173"/>
      <c r="P92" s="173"/>
    </row>
    <row r="93" spans="1:16" x14ac:dyDescent="0.2">
      <c r="A93" s="173"/>
      <c r="B93" s="173"/>
      <c r="C93" s="173"/>
      <c r="D93" s="173"/>
      <c r="E93" s="173"/>
      <c r="F93" s="173"/>
      <c r="G93" s="173"/>
      <c r="H93" s="173"/>
      <c r="I93" s="173"/>
      <c r="J93" s="173"/>
      <c r="K93" s="173"/>
      <c r="L93" s="173"/>
      <c r="M93" s="173"/>
      <c r="N93" s="173"/>
      <c r="O93" s="173"/>
      <c r="P93" s="173"/>
    </row>
    <row r="94" spans="1:16" x14ac:dyDescent="0.2">
      <c r="A94" s="227" t="s">
        <v>54</v>
      </c>
      <c r="B94" s="228"/>
      <c r="C94" s="229">
        <f>'Kops a'!C42</f>
        <v>0</v>
      </c>
      <c r="D94" s="230"/>
      <c r="E94" s="173"/>
      <c r="F94" s="173"/>
      <c r="G94" s="173"/>
      <c r="H94" s="173"/>
      <c r="I94" s="173"/>
      <c r="J94" s="173"/>
      <c r="K94" s="173"/>
      <c r="L94" s="173"/>
      <c r="M94" s="173"/>
      <c r="N94" s="173"/>
      <c r="O94" s="173"/>
      <c r="P94" s="173"/>
    </row>
    <row r="95" spans="1:16" x14ac:dyDescent="0.2">
      <c r="A95" s="173"/>
      <c r="B95" s="173"/>
      <c r="C95" s="173"/>
      <c r="D95" s="173"/>
      <c r="E95" s="173"/>
      <c r="F95" s="173"/>
      <c r="G95" s="173"/>
      <c r="H95" s="173"/>
      <c r="I95" s="173"/>
      <c r="J95" s="173"/>
      <c r="K95" s="173"/>
      <c r="L95" s="173"/>
      <c r="M95" s="173"/>
      <c r="N95" s="173"/>
      <c r="O95" s="173"/>
      <c r="P95" s="173"/>
    </row>
    <row r="96" spans="1:16" x14ac:dyDescent="0.2">
      <c r="A96" s="231" t="s">
        <v>63</v>
      </c>
      <c r="B96" s="173"/>
      <c r="E96" s="167"/>
      <c r="F96" s="232"/>
      <c r="G96" s="167"/>
      <c r="H96" s="233"/>
      <c r="I96" s="233"/>
      <c r="J96" s="234"/>
      <c r="K96" s="235"/>
      <c r="L96" s="235"/>
      <c r="M96" s="235"/>
      <c r="N96" s="235"/>
      <c r="O96" s="235"/>
    </row>
    <row r="97" spans="1:15" x14ac:dyDescent="0.2">
      <c r="A97" s="357" t="s">
        <v>64</v>
      </c>
      <c r="B97" s="357"/>
      <c r="C97" s="357"/>
      <c r="D97" s="357"/>
      <c r="E97" s="357"/>
      <c r="F97" s="357"/>
      <c r="G97" s="357"/>
      <c r="H97" s="357"/>
      <c r="I97" s="357"/>
      <c r="J97" s="357"/>
      <c r="K97" s="357"/>
      <c r="L97" s="357"/>
      <c r="M97" s="357"/>
      <c r="N97" s="357"/>
      <c r="O97" s="357"/>
    </row>
    <row r="98" spans="1:15" x14ac:dyDescent="0.2">
      <c r="A98" s="357" t="s">
        <v>65</v>
      </c>
      <c r="B98" s="357"/>
      <c r="C98" s="357"/>
      <c r="D98" s="357"/>
      <c r="E98" s="357"/>
      <c r="F98" s="357"/>
      <c r="G98" s="357"/>
      <c r="H98" s="357"/>
      <c r="I98" s="357"/>
      <c r="J98" s="357"/>
      <c r="K98" s="357"/>
      <c r="L98" s="357"/>
      <c r="M98" s="357"/>
      <c r="N98" s="357"/>
      <c r="O98" s="357"/>
    </row>
  </sheetData>
  <autoFilter ref="A14:P83" xr:uid="{00000000-0009-0000-0000-000009000000}"/>
  <mergeCells count="24">
    <mergeCell ref="A97:O97"/>
    <mergeCell ref="A98:O98"/>
    <mergeCell ref="L12:P12"/>
    <mergeCell ref="A83:K83"/>
    <mergeCell ref="C86:H86"/>
    <mergeCell ref="C87:H87"/>
    <mergeCell ref="C91:H91"/>
    <mergeCell ref="C92:H92"/>
    <mergeCell ref="D8:L8"/>
    <mergeCell ref="A9:F9"/>
    <mergeCell ref="J9:M9"/>
    <mergeCell ref="N9:O9"/>
    <mergeCell ref="A12:A13"/>
    <mergeCell ref="B12:B13"/>
    <mergeCell ref="C12:C13"/>
    <mergeCell ref="D12:D13"/>
    <mergeCell ref="E12:E13"/>
    <mergeCell ref="F12:K12"/>
    <mergeCell ref="D7:L7"/>
    <mergeCell ref="C2:I2"/>
    <mergeCell ref="C3:I3"/>
    <mergeCell ref="C4:I4"/>
    <mergeCell ref="D5:L5"/>
    <mergeCell ref="D6:L6"/>
  </mergeCells>
  <conditionalFormatting sqref="I14:J82 A14:G82">
    <cfRule type="cellIs" dxfId="50" priority="219" operator="equal">
      <formula>0</formula>
    </cfRule>
  </conditionalFormatting>
  <conditionalFormatting sqref="N9:O9 D5:L8 D1 H14:H82 K14:P82">
    <cfRule type="cellIs" dxfId="49" priority="218" operator="equal">
      <formula>0</formula>
    </cfRule>
  </conditionalFormatting>
  <conditionalFormatting sqref="A9:F9">
    <cfRule type="containsText" dxfId="48" priority="217"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4:I4">
    <cfRule type="cellIs" dxfId="47" priority="216" operator="equal">
      <formula>0</formula>
    </cfRule>
  </conditionalFormatting>
  <conditionalFormatting sqref="O10:P10">
    <cfRule type="cellIs" dxfId="46" priority="215" operator="equal">
      <formula>"20__. gada __. _________"</formula>
    </cfRule>
  </conditionalFormatting>
  <conditionalFormatting sqref="A83:K83">
    <cfRule type="containsText" dxfId="45" priority="214" operator="containsText" text="Tiešās izmaksas kopā, t. sk. darba devēja sociālais nodoklis __.__% ">
      <formula>NOT(ISERROR(SEARCH("Tiešās izmaksas kopā, t. sk. darba devēja sociālais nodoklis __.__% ",A83)))</formula>
    </cfRule>
  </conditionalFormatting>
  <conditionalFormatting sqref="L83:P83">
    <cfRule type="cellIs" dxfId="44" priority="213" operator="equal">
      <formula>0</formula>
    </cfRule>
  </conditionalFormatting>
  <conditionalFormatting sqref="C91:H91">
    <cfRule type="cellIs" dxfId="43" priority="203" operator="equal">
      <formula>0</formula>
    </cfRule>
  </conditionalFormatting>
  <conditionalFormatting sqref="C86:H86">
    <cfRule type="cellIs" dxfId="42" priority="202" operator="equal">
      <formula>0</formula>
    </cfRule>
  </conditionalFormatting>
  <conditionalFormatting sqref="C91:H91 C94 C86:H86">
    <cfRule type="cellIs" dxfId="41" priority="201" operator="equal">
      <formula>0</formula>
    </cfRule>
  </conditionalFormatting>
  <pageMargins left="0.7" right="0.7" top="0.75" bottom="0.75" header="0.3" footer="0.3"/>
  <pageSetup paperSize="9" scale="93" fitToHeight="0" orientation="landscape" r:id="rId1"/>
  <headerFooter>
    <oddFooter>&amp;R&amp;P</oddFooter>
  </headerFooter>
  <rowBreaks count="1" manualBreakCount="1">
    <brk id="55" max="15" man="1"/>
  </rowBreaks>
  <legacyDrawing r:id="rId2"/>
  <extLst>
    <ext xmlns:x14="http://schemas.microsoft.com/office/spreadsheetml/2009/9/main" uri="{78C0D931-6437-407d-A8EE-F0AAD7539E65}">
      <x14:conditionalFormattings>
        <x14:conditionalFormatting xmlns:xm="http://schemas.microsoft.com/office/excel/2006/main">
          <x14:cfRule type="containsText" priority="11" operator="containsText" id="{7954A5D3-44E9-4DE8-9A8E-CFF8D7CF9D56}">
            <xm:f>NOT(ISERROR(SEARCH("Tāme sastādīta ____. gada ___. ______________",A89)))</xm:f>
            <xm:f>"Tāme sastādīta ____. gada ___. ______________"</xm:f>
            <x14:dxf>
              <font>
                <color auto="1"/>
              </font>
              <fill>
                <patternFill>
                  <bgColor rgb="FFC6EFCE"/>
                </patternFill>
              </fill>
            </x14:dxf>
          </x14:cfRule>
          <xm:sqref>A89</xm:sqref>
        </x14:conditionalFormatting>
        <x14:conditionalFormatting xmlns:xm="http://schemas.microsoft.com/office/excel/2006/main">
          <x14:cfRule type="containsText" priority="10" operator="containsText" id="{2937C480-6AB3-4622-99AD-2A81A80BC49F}">
            <xm:f>NOT(ISERROR(SEARCH("Sertifikāta Nr. _________________________________",A94)))</xm:f>
            <xm:f>"Sertifikāta Nr. _________________________________"</xm:f>
            <x14:dxf>
              <font>
                <color auto="1"/>
              </font>
              <fill>
                <patternFill>
                  <bgColor rgb="FFC6EFCE"/>
                </patternFill>
              </fill>
            </x14:dxf>
          </x14:cfRule>
          <xm:sqref>A94</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5757"/>
    <pageSetUpPr fitToPage="1"/>
  </sheetPr>
  <dimension ref="A1:S83"/>
  <sheetViews>
    <sheetView view="pageBreakPreview" topLeftCell="A58" zoomScale="130" zoomScaleNormal="100" zoomScaleSheetLayoutView="130" workbookViewId="0">
      <selection activeCell="A10" sqref="A10"/>
    </sheetView>
  </sheetViews>
  <sheetFormatPr defaultColWidth="9.140625" defaultRowHeight="11.25" x14ac:dyDescent="0.2"/>
  <cols>
    <col min="1" max="1" width="4.5703125" style="174" customWidth="1"/>
    <col min="2" max="2" width="5.28515625" style="174" customWidth="1"/>
    <col min="3" max="3" width="38.42578125" style="174" customWidth="1"/>
    <col min="4" max="4" width="5.85546875" style="174" customWidth="1"/>
    <col min="5" max="5" width="8.7109375" style="174" customWidth="1"/>
    <col min="6" max="6" width="5.42578125" style="174" customWidth="1"/>
    <col min="7" max="7" width="5.5703125" style="174" customWidth="1"/>
    <col min="8" max="10" width="6.7109375" style="174" customWidth="1"/>
    <col min="11" max="11" width="7" style="174" customWidth="1"/>
    <col min="12" max="15" width="7.7109375" style="174" customWidth="1"/>
    <col min="16" max="16" width="9" style="174" customWidth="1"/>
    <col min="17" max="16384" width="9.140625" style="174"/>
  </cols>
  <sheetData>
    <row r="1" spans="1:19" x14ac:dyDescent="0.2">
      <c r="A1" s="167"/>
      <c r="B1" s="167"/>
      <c r="C1" s="194" t="s">
        <v>38</v>
      </c>
      <c r="D1" s="195">
        <f>'Kops a'!A23</f>
        <v>9</v>
      </c>
      <c r="E1" s="167"/>
      <c r="F1" s="167"/>
      <c r="G1" s="167"/>
      <c r="H1" s="167"/>
      <c r="I1" s="167"/>
      <c r="J1" s="167"/>
      <c r="N1" s="196"/>
      <c r="O1" s="194"/>
      <c r="P1" s="197"/>
    </row>
    <row r="2" spans="1:19" x14ac:dyDescent="0.2">
      <c r="A2" s="198"/>
      <c r="B2" s="198"/>
      <c r="C2" s="338" t="s">
        <v>416</v>
      </c>
      <c r="D2" s="338"/>
      <c r="E2" s="338"/>
      <c r="F2" s="338"/>
      <c r="G2" s="338"/>
      <c r="H2" s="338"/>
      <c r="I2" s="338"/>
      <c r="J2" s="198"/>
    </row>
    <row r="3" spans="1:19" x14ac:dyDescent="0.2">
      <c r="A3" s="199"/>
      <c r="B3" s="199"/>
      <c r="C3" s="339" t="s">
        <v>17</v>
      </c>
      <c r="D3" s="339"/>
      <c r="E3" s="339"/>
      <c r="F3" s="339"/>
      <c r="G3" s="339"/>
      <c r="H3" s="339"/>
      <c r="I3" s="339"/>
      <c r="J3" s="199"/>
    </row>
    <row r="4" spans="1:19" x14ac:dyDescent="0.2">
      <c r="A4" s="199"/>
      <c r="B4" s="199"/>
      <c r="C4" s="340" t="s">
        <v>52</v>
      </c>
      <c r="D4" s="340"/>
      <c r="E4" s="340"/>
      <c r="F4" s="340"/>
      <c r="G4" s="340"/>
      <c r="H4" s="340"/>
      <c r="I4" s="340"/>
      <c r="J4" s="199"/>
    </row>
    <row r="5" spans="1:19" x14ac:dyDescent="0.2">
      <c r="A5" s="167"/>
      <c r="B5" s="167"/>
      <c r="C5" s="194" t="s">
        <v>5</v>
      </c>
      <c r="D5" s="354" t="str">
        <f>'Kops a'!D6</f>
        <v>Dzīvojamās ēkas vienkāršotā atjaunošana</v>
      </c>
      <c r="E5" s="354"/>
      <c r="F5" s="354"/>
      <c r="G5" s="354"/>
      <c r="H5" s="354"/>
      <c r="I5" s="354"/>
      <c r="J5" s="354"/>
      <c r="K5" s="354"/>
      <c r="L5" s="354"/>
      <c r="M5" s="173"/>
      <c r="N5" s="173"/>
      <c r="O5" s="173"/>
      <c r="P5" s="173"/>
    </row>
    <row r="6" spans="1:19" x14ac:dyDescent="0.2">
      <c r="A6" s="167"/>
      <c r="B6" s="167"/>
      <c r="C6" s="194" t="s">
        <v>6</v>
      </c>
      <c r="D6" s="354" t="str">
        <f>'Kops a'!D7</f>
        <v>Daudzdzīvokļu dzīvojamās ēkas energoefektivitātes paaugstināšanas pasākumi</v>
      </c>
      <c r="E6" s="354"/>
      <c r="F6" s="354"/>
      <c r="G6" s="354"/>
      <c r="H6" s="354"/>
      <c r="I6" s="354"/>
      <c r="J6" s="354"/>
      <c r="K6" s="354"/>
      <c r="L6" s="354"/>
      <c r="M6" s="173"/>
      <c r="N6" s="173"/>
      <c r="O6" s="173"/>
      <c r="P6" s="173"/>
    </row>
    <row r="7" spans="1:19" x14ac:dyDescent="0.2">
      <c r="A7" s="167"/>
      <c r="B7" s="167"/>
      <c r="C7" s="194" t="s">
        <v>7</v>
      </c>
      <c r="D7" s="354" t="str">
        <f>'Kops a'!D8</f>
        <v>Dzērves iela 23, Liepāja</v>
      </c>
      <c r="E7" s="354"/>
      <c r="F7" s="354"/>
      <c r="G7" s="354"/>
      <c r="H7" s="354"/>
      <c r="I7" s="354"/>
      <c r="J7" s="354"/>
      <c r="K7" s="354"/>
      <c r="L7" s="354"/>
      <c r="M7" s="173"/>
      <c r="N7" s="173"/>
      <c r="O7" s="173"/>
      <c r="P7" s="173"/>
    </row>
    <row r="8" spans="1:19" x14ac:dyDescent="0.2">
      <c r="A8" s="167"/>
      <c r="B8" s="167"/>
      <c r="C8" s="200" t="s">
        <v>20</v>
      </c>
      <c r="D8" s="354" t="str">
        <f>'Kops a'!D9</f>
        <v>EA-14-17/WOOS</v>
      </c>
      <c r="E8" s="354"/>
      <c r="F8" s="354"/>
      <c r="G8" s="354"/>
      <c r="H8" s="354"/>
      <c r="I8" s="354"/>
      <c r="J8" s="354"/>
      <c r="K8" s="354"/>
      <c r="L8" s="354"/>
      <c r="M8" s="173"/>
      <c r="N8" s="173"/>
      <c r="O8" s="173"/>
      <c r="P8" s="173"/>
    </row>
    <row r="9" spans="1:19" x14ac:dyDescent="0.2">
      <c r="A9" s="341" t="s">
        <v>556</v>
      </c>
      <c r="B9" s="341"/>
      <c r="C9" s="341"/>
      <c r="D9" s="341"/>
      <c r="E9" s="341"/>
      <c r="F9" s="341"/>
      <c r="G9" s="175"/>
      <c r="H9" s="175"/>
      <c r="I9" s="175"/>
      <c r="J9" s="345" t="s">
        <v>39</v>
      </c>
      <c r="K9" s="345"/>
      <c r="L9" s="345"/>
      <c r="M9" s="345"/>
      <c r="N9" s="353">
        <f>P68</f>
        <v>0</v>
      </c>
      <c r="O9" s="353"/>
      <c r="P9" s="175"/>
    </row>
    <row r="10" spans="1:19" x14ac:dyDescent="0.2">
      <c r="A10" s="201"/>
      <c r="B10" s="202"/>
      <c r="C10" s="200"/>
      <c r="D10" s="167"/>
      <c r="E10" s="167"/>
      <c r="F10" s="167"/>
      <c r="G10" s="167"/>
      <c r="H10" s="167"/>
      <c r="I10" s="167"/>
      <c r="J10" s="167"/>
      <c r="K10" s="167"/>
      <c r="L10" s="198"/>
      <c r="M10" s="198"/>
      <c r="O10" s="237"/>
      <c r="P10" s="204" t="str">
        <f>A74</f>
        <v>Tāme sastādīta 2021. gada</v>
      </c>
    </row>
    <row r="11" spans="1:19" ht="12" thickBot="1" x14ac:dyDescent="0.25">
      <c r="A11" s="201"/>
      <c r="B11" s="202"/>
      <c r="C11" s="200"/>
      <c r="D11" s="167"/>
      <c r="E11" s="167"/>
      <c r="F11" s="167"/>
      <c r="G11" s="167"/>
      <c r="H11" s="167"/>
      <c r="I11" s="167"/>
      <c r="J11" s="167"/>
      <c r="K11" s="167"/>
      <c r="L11" s="205"/>
      <c r="M11" s="205"/>
      <c r="N11" s="206"/>
      <c r="O11" s="196"/>
      <c r="P11" s="167"/>
    </row>
    <row r="12" spans="1:19" x14ac:dyDescent="0.2">
      <c r="A12" s="346" t="s">
        <v>23</v>
      </c>
      <c r="B12" s="348" t="s">
        <v>40</v>
      </c>
      <c r="C12" s="343" t="s">
        <v>41</v>
      </c>
      <c r="D12" s="351" t="s">
        <v>42</v>
      </c>
      <c r="E12" s="355" t="s">
        <v>43</v>
      </c>
      <c r="F12" s="342" t="s">
        <v>44</v>
      </c>
      <c r="G12" s="343"/>
      <c r="H12" s="343"/>
      <c r="I12" s="343"/>
      <c r="J12" s="343"/>
      <c r="K12" s="344"/>
      <c r="L12" s="342" t="s">
        <v>45</v>
      </c>
      <c r="M12" s="343"/>
      <c r="N12" s="343"/>
      <c r="O12" s="343"/>
      <c r="P12" s="344"/>
    </row>
    <row r="13" spans="1:19" ht="66" x14ac:dyDescent="0.2">
      <c r="A13" s="378"/>
      <c r="B13" s="379"/>
      <c r="C13" s="380"/>
      <c r="D13" s="381"/>
      <c r="E13" s="382"/>
      <c r="F13" s="278" t="s">
        <v>46</v>
      </c>
      <c r="G13" s="279" t="s">
        <v>47</v>
      </c>
      <c r="H13" s="279" t="s">
        <v>48</v>
      </c>
      <c r="I13" s="279" t="s">
        <v>49</v>
      </c>
      <c r="J13" s="279" t="s">
        <v>50</v>
      </c>
      <c r="K13" s="280" t="s">
        <v>51</v>
      </c>
      <c r="L13" s="278" t="s">
        <v>46</v>
      </c>
      <c r="M13" s="279" t="s">
        <v>48</v>
      </c>
      <c r="N13" s="279" t="s">
        <v>49</v>
      </c>
      <c r="O13" s="279" t="s">
        <v>50</v>
      </c>
      <c r="P13" s="280" t="s">
        <v>51</v>
      </c>
    </row>
    <row r="14" spans="1:19" ht="22.5" x14ac:dyDescent="0.2">
      <c r="A14" s="168"/>
      <c r="B14" s="168"/>
      <c r="C14" s="76" t="s">
        <v>417</v>
      </c>
      <c r="D14" s="168"/>
      <c r="E14" s="168"/>
      <c r="F14" s="75"/>
      <c r="G14" s="98"/>
      <c r="H14" s="271"/>
      <c r="I14" s="75"/>
      <c r="J14" s="75"/>
      <c r="K14" s="268"/>
      <c r="L14" s="269"/>
      <c r="M14" s="269"/>
      <c r="N14" s="269"/>
      <c r="O14" s="269"/>
      <c r="P14" s="269"/>
    </row>
    <row r="15" spans="1:19" ht="22.5" customHeight="1" x14ac:dyDescent="0.2">
      <c r="A15" s="101">
        <f>IF(COUNTBLANK(B15)=1," ",COUNTA($B$15:B15))</f>
        <v>1</v>
      </c>
      <c r="B15" s="153" t="s">
        <v>93</v>
      </c>
      <c r="C15" s="61" t="s">
        <v>418</v>
      </c>
      <c r="D15" s="59" t="s">
        <v>97</v>
      </c>
      <c r="E15" s="109">
        <v>49</v>
      </c>
      <c r="F15" s="95"/>
      <c r="G15" s="98"/>
      <c r="H15" s="99"/>
      <c r="I15" s="99"/>
      <c r="J15" s="95"/>
      <c r="K15" s="268"/>
      <c r="L15" s="269"/>
      <c r="M15" s="269"/>
      <c r="N15" s="269"/>
      <c r="O15" s="269"/>
      <c r="P15" s="269"/>
      <c r="Q15" s="175"/>
      <c r="R15" s="175"/>
      <c r="S15" s="175"/>
    </row>
    <row r="16" spans="1:19" ht="22.5" x14ac:dyDescent="0.2">
      <c r="A16" s="101">
        <f>IF(COUNTBLANK(B16)=1," ",COUNTA($B$15:B16))</f>
        <v>2</v>
      </c>
      <c r="B16" s="153" t="s">
        <v>93</v>
      </c>
      <c r="C16" s="61" t="s">
        <v>419</v>
      </c>
      <c r="D16" s="59" t="s">
        <v>100</v>
      </c>
      <c r="E16" s="129">
        <v>94</v>
      </c>
      <c r="F16" s="95"/>
      <c r="G16" s="98"/>
      <c r="H16" s="99"/>
      <c r="I16" s="99"/>
      <c r="J16" s="95"/>
      <c r="K16" s="268"/>
      <c r="L16" s="269"/>
      <c r="M16" s="269"/>
      <c r="N16" s="269"/>
      <c r="O16" s="269"/>
      <c r="P16" s="269"/>
      <c r="Q16" s="175"/>
      <c r="R16" s="175"/>
      <c r="S16" s="175"/>
    </row>
    <row r="17" spans="1:19" ht="22.5" x14ac:dyDescent="0.2">
      <c r="A17" s="101">
        <f>IF(COUNTBLANK(B17)=1," ",COUNTA($B$15:B17))</f>
        <v>3</v>
      </c>
      <c r="B17" s="153" t="s">
        <v>93</v>
      </c>
      <c r="C17" s="61" t="s">
        <v>420</v>
      </c>
      <c r="D17" s="59" t="s">
        <v>100</v>
      </c>
      <c r="E17" s="129">
        <v>7</v>
      </c>
      <c r="F17" s="95"/>
      <c r="G17" s="98"/>
      <c r="H17" s="99"/>
      <c r="I17" s="99"/>
      <c r="J17" s="95"/>
      <c r="K17" s="268"/>
      <c r="L17" s="269"/>
      <c r="M17" s="269"/>
      <c r="N17" s="269"/>
      <c r="O17" s="269"/>
      <c r="P17" s="269"/>
      <c r="Q17" s="175"/>
      <c r="R17" s="175"/>
      <c r="S17" s="175"/>
    </row>
    <row r="18" spans="1:19" x14ac:dyDescent="0.2">
      <c r="A18" s="101" t="str">
        <f>IF(COUNTBLANK(B18)=1," ",COUNTA($B$15:B18))</f>
        <v xml:space="preserve"> </v>
      </c>
      <c r="B18" s="272"/>
      <c r="C18" s="282" t="s">
        <v>421</v>
      </c>
      <c r="D18" s="59"/>
      <c r="E18" s="129"/>
      <c r="F18" s="95"/>
      <c r="G18" s="98"/>
      <c r="H18" s="99"/>
      <c r="I18" s="99"/>
      <c r="J18" s="95"/>
      <c r="K18" s="268"/>
      <c r="L18" s="269"/>
      <c r="M18" s="269"/>
      <c r="N18" s="269"/>
      <c r="O18" s="269"/>
      <c r="P18" s="269"/>
      <c r="Q18" s="175"/>
      <c r="R18" s="175"/>
      <c r="S18" s="175"/>
    </row>
    <row r="19" spans="1:19" ht="45" x14ac:dyDescent="0.2">
      <c r="A19" s="101">
        <f>IF(COUNTBLANK(B19)=1," ",COUNTA($B$15:B19))</f>
        <v>4</v>
      </c>
      <c r="B19" s="153" t="s">
        <v>93</v>
      </c>
      <c r="C19" s="61" t="s">
        <v>422</v>
      </c>
      <c r="D19" s="59" t="s">
        <v>100</v>
      </c>
      <c r="E19" s="129">
        <v>1513</v>
      </c>
      <c r="F19" s="75"/>
      <c r="G19" s="98"/>
      <c r="H19" s="271"/>
      <c r="I19" s="75"/>
      <c r="J19" s="75"/>
      <c r="K19" s="268"/>
      <c r="L19" s="269"/>
      <c r="M19" s="269"/>
      <c r="N19" s="269"/>
      <c r="O19" s="269"/>
      <c r="P19" s="269"/>
    </row>
    <row r="20" spans="1:19" ht="45" x14ac:dyDescent="0.2">
      <c r="A20" s="101">
        <f>IF(COUNTBLANK(B20)=1," ",COUNTA($B$15:B20))</f>
        <v>5</v>
      </c>
      <c r="B20" s="153" t="s">
        <v>93</v>
      </c>
      <c r="C20" s="61" t="s">
        <v>507</v>
      </c>
      <c r="D20" s="59" t="s">
        <v>95</v>
      </c>
      <c r="E20" s="129">
        <v>755</v>
      </c>
      <c r="F20" s="95"/>
      <c r="G20" s="98"/>
      <c r="H20" s="99"/>
      <c r="I20" s="99"/>
      <c r="J20" s="95"/>
      <c r="K20" s="268"/>
      <c r="L20" s="269"/>
      <c r="M20" s="269"/>
      <c r="N20" s="269"/>
      <c r="O20" s="269"/>
      <c r="P20" s="269"/>
    </row>
    <row r="21" spans="1:19" ht="45" x14ac:dyDescent="0.2">
      <c r="A21" s="101">
        <f>IF(COUNTBLANK(B21)=1," ",COUNTA($B$15:B21))</f>
        <v>6</v>
      </c>
      <c r="B21" s="153" t="s">
        <v>93</v>
      </c>
      <c r="C21" s="61" t="s">
        <v>508</v>
      </c>
      <c r="D21" s="59" t="s">
        <v>95</v>
      </c>
      <c r="E21" s="129">
        <v>327</v>
      </c>
      <c r="F21" s="95"/>
      <c r="G21" s="98"/>
      <c r="H21" s="99"/>
      <c r="I21" s="99"/>
      <c r="J21" s="95"/>
      <c r="K21" s="268"/>
      <c r="L21" s="269"/>
      <c r="M21" s="269"/>
      <c r="N21" s="269"/>
      <c r="O21" s="269"/>
      <c r="P21" s="269"/>
    </row>
    <row r="22" spans="1:19" ht="33.75" x14ac:dyDescent="0.2">
      <c r="A22" s="101">
        <f>IF(COUNTBLANK(B22)=1," ",COUNTA($B$15:B22))</f>
        <v>7</v>
      </c>
      <c r="B22" s="153" t="s">
        <v>93</v>
      </c>
      <c r="C22" s="61" t="s">
        <v>423</v>
      </c>
      <c r="D22" s="59" t="s">
        <v>97</v>
      </c>
      <c r="E22" s="109">
        <v>3</v>
      </c>
      <c r="F22" s="95"/>
      <c r="G22" s="98"/>
      <c r="H22" s="99"/>
      <c r="I22" s="99"/>
      <c r="J22" s="95"/>
      <c r="K22" s="268"/>
      <c r="L22" s="269"/>
      <c r="M22" s="269"/>
      <c r="N22" s="269"/>
      <c r="O22" s="269"/>
      <c r="P22" s="269"/>
    </row>
    <row r="23" spans="1:19" ht="22.5" x14ac:dyDescent="0.2">
      <c r="A23" s="101">
        <f>IF(COUNTBLANK(B23)=1," ",COUNTA($B$15:B23))</f>
        <v>8</v>
      </c>
      <c r="B23" s="153" t="s">
        <v>93</v>
      </c>
      <c r="C23" s="61" t="s">
        <v>424</v>
      </c>
      <c r="D23" s="59" t="s">
        <v>100</v>
      </c>
      <c r="E23" s="129">
        <v>1513</v>
      </c>
      <c r="F23" s="95"/>
      <c r="G23" s="98"/>
      <c r="H23" s="99"/>
      <c r="I23" s="99"/>
      <c r="J23" s="95"/>
      <c r="K23" s="268"/>
      <c r="L23" s="269"/>
      <c r="M23" s="269"/>
      <c r="N23" s="269"/>
      <c r="O23" s="269"/>
      <c r="P23" s="269"/>
    </row>
    <row r="24" spans="1:19" ht="45" x14ac:dyDescent="0.2">
      <c r="A24" s="101">
        <f>IF(COUNTBLANK(B24)=1," ",COUNTA($B$15:B24))</f>
        <v>9</v>
      </c>
      <c r="B24" s="153" t="s">
        <v>93</v>
      </c>
      <c r="C24" s="61" t="s">
        <v>509</v>
      </c>
      <c r="D24" s="59" t="s">
        <v>100</v>
      </c>
      <c r="E24" s="129">
        <v>109</v>
      </c>
      <c r="F24" s="95"/>
      <c r="G24" s="98"/>
      <c r="H24" s="99"/>
      <c r="I24" s="99"/>
      <c r="J24" s="95"/>
      <c r="K24" s="268"/>
      <c r="L24" s="269"/>
      <c r="M24" s="269"/>
      <c r="N24" s="269"/>
      <c r="O24" s="269"/>
      <c r="P24" s="269"/>
    </row>
    <row r="25" spans="1:19" ht="22.5" x14ac:dyDescent="0.2">
      <c r="A25" s="101">
        <f>IF(COUNTBLANK(B25)=1," ",COUNTA($B$15:B25))</f>
        <v>10</v>
      </c>
      <c r="B25" s="153" t="s">
        <v>93</v>
      </c>
      <c r="C25" s="61" t="s">
        <v>510</v>
      </c>
      <c r="D25" s="59" t="s">
        <v>100</v>
      </c>
      <c r="E25" s="129">
        <v>1513</v>
      </c>
      <c r="F25" s="95"/>
      <c r="G25" s="98"/>
      <c r="H25" s="99"/>
      <c r="I25" s="99"/>
      <c r="J25" s="95"/>
      <c r="K25" s="268"/>
      <c r="L25" s="269"/>
      <c r="M25" s="269"/>
      <c r="N25" s="269"/>
      <c r="O25" s="269"/>
      <c r="P25" s="269"/>
    </row>
    <row r="26" spans="1:19" ht="22.5" x14ac:dyDescent="0.2">
      <c r="A26" s="101">
        <f>IF(COUNTBLANK(B26)=1," ",COUNTA($B$15:B26))</f>
        <v>11</v>
      </c>
      <c r="B26" s="153" t="s">
        <v>93</v>
      </c>
      <c r="C26" s="61" t="s">
        <v>511</v>
      </c>
      <c r="D26" s="59" t="s">
        <v>100</v>
      </c>
      <c r="E26" s="129">
        <v>1513</v>
      </c>
      <c r="F26" s="95"/>
      <c r="G26" s="98"/>
      <c r="H26" s="99"/>
      <c r="I26" s="99"/>
      <c r="J26" s="95"/>
      <c r="K26" s="268"/>
      <c r="L26" s="269"/>
      <c r="M26" s="269"/>
      <c r="N26" s="269"/>
      <c r="O26" s="269"/>
      <c r="P26" s="269"/>
    </row>
    <row r="27" spans="1:19" ht="22.5" x14ac:dyDescent="0.2">
      <c r="A27" s="101">
        <f>IF(COUNTBLANK(B27)=1," ",COUNTA($B$15:B27))</f>
        <v>12</v>
      </c>
      <c r="B27" s="153" t="s">
        <v>93</v>
      </c>
      <c r="C27" s="61" t="s">
        <v>512</v>
      </c>
      <c r="D27" s="59" t="s">
        <v>100</v>
      </c>
      <c r="E27" s="169">
        <f>111*0.3</f>
        <v>33.299999999999997</v>
      </c>
      <c r="F27" s="95"/>
      <c r="G27" s="98"/>
      <c r="H27" s="99"/>
      <c r="I27" s="99"/>
      <c r="J27" s="95"/>
      <c r="K27" s="268"/>
      <c r="L27" s="269"/>
      <c r="M27" s="269"/>
      <c r="N27" s="269"/>
      <c r="O27" s="269"/>
      <c r="P27" s="269"/>
    </row>
    <row r="28" spans="1:19" ht="22.5" x14ac:dyDescent="0.2">
      <c r="A28" s="101">
        <f>IF(COUNTBLANK(B28)=1," ",COUNTA($B$15:B28))</f>
        <v>13</v>
      </c>
      <c r="B28" s="153" t="s">
        <v>93</v>
      </c>
      <c r="C28" s="61" t="s">
        <v>513</v>
      </c>
      <c r="D28" s="59" t="s">
        <v>100</v>
      </c>
      <c r="E28" s="129">
        <v>95</v>
      </c>
      <c r="F28" s="95"/>
      <c r="G28" s="98"/>
      <c r="H28" s="99"/>
      <c r="I28" s="99"/>
      <c r="J28" s="95"/>
      <c r="K28" s="268"/>
      <c r="L28" s="269"/>
      <c r="M28" s="269"/>
      <c r="N28" s="269"/>
      <c r="O28" s="269"/>
      <c r="P28" s="269"/>
    </row>
    <row r="29" spans="1:19" ht="56.25" x14ac:dyDescent="0.2">
      <c r="A29" s="101">
        <f>IF(COUNTBLANK(B29)=1," ",COUNTA($B$15:B29))</f>
        <v>14</v>
      </c>
      <c r="B29" s="153" t="s">
        <v>93</v>
      </c>
      <c r="C29" s="61" t="s">
        <v>425</v>
      </c>
      <c r="D29" s="59" t="s">
        <v>97</v>
      </c>
      <c r="E29" s="109">
        <v>18</v>
      </c>
      <c r="F29" s="75"/>
      <c r="G29" s="98"/>
      <c r="H29" s="75"/>
      <c r="I29" s="100"/>
      <c r="J29" s="75"/>
      <c r="K29" s="268"/>
      <c r="L29" s="269"/>
      <c r="M29" s="269"/>
      <c r="N29" s="269"/>
      <c r="O29" s="269"/>
      <c r="P29" s="269"/>
    </row>
    <row r="30" spans="1:19" x14ac:dyDescent="0.2">
      <c r="A30" s="101">
        <f>IF(COUNTBLANK(B30)=1," ",COUNTA($B$15:B30))</f>
        <v>15</v>
      </c>
      <c r="B30" s="153" t="s">
        <v>93</v>
      </c>
      <c r="C30" s="61" t="s">
        <v>514</v>
      </c>
      <c r="D30" s="59" t="s">
        <v>100</v>
      </c>
      <c r="E30" s="129">
        <v>240.6</v>
      </c>
      <c r="F30" s="75"/>
      <c r="G30" s="75"/>
      <c r="H30" s="75"/>
      <c r="I30" s="75"/>
      <c r="J30" s="75"/>
      <c r="K30" s="268"/>
      <c r="L30" s="269"/>
      <c r="M30" s="269"/>
      <c r="N30" s="269"/>
      <c r="O30" s="269"/>
      <c r="P30" s="269"/>
    </row>
    <row r="31" spans="1:19" ht="33.75" x14ac:dyDescent="0.2">
      <c r="A31" s="101">
        <f>IF(COUNTBLANK(B31)=1," ",COUNTA($B$15:B31))</f>
        <v>16</v>
      </c>
      <c r="B31" s="153" t="s">
        <v>93</v>
      </c>
      <c r="C31" s="61" t="s">
        <v>515</v>
      </c>
      <c r="D31" s="59" t="s">
        <v>100</v>
      </c>
      <c r="E31" s="129">
        <v>19.600000000000001</v>
      </c>
      <c r="F31" s="95"/>
      <c r="G31" s="98"/>
      <c r="H31" s="99"/>
      <c r="I31" s="99"/>
      <c r="J31" s="95"/>
      <c r="K31" s="268"/>
      <c r="L31" s="269"/>
      <c r="M31" s="269"/>
      <c r="N31" s="269"/>
      <c r="O31" s="269"/>
      <c r="P31" s="269"/>
    </row>
    <row r="32" spans="1:19" ht="22.5" x14ac:dyDescent="0.2">
      <c r="A32" s="101">
        <f>IF(COUNTBLANK(B32)=1," ",COUNTA($B$15:B32))</f>
        <v>17</v>
      </c>
      <c r="B32" s="153" t="s">
        <v>93</v>
      </c>
      <c r="C32" s="61" t="s">
        <v>516</v>
      </c>
      <c r="D32" s="59" t="s">
        <v>100</v>
      </c>
      <c r="E32" s="129">
        <v>1513</v>
      </c>
      <c r="F32" s="95"/>
      <c r="G32" s="98"/>
      <c r="H32" s="99"/>
      <c r="I32" s="99"/>
      <c r="J32" s="95"/>
      <c r="K32" s="268"/>
      <c r="L32" s="269"/>
      <c r="M32" s="269"/>
      <c r="N32" s="269"/>
      <c r="O32" s="269"/>
      <c r="P32" s="269"/>
    </row>
    <row r="33" spans="1:16" ht="22.5" x14ac:dyDescent="0.2">
      <c r="A33" s="101">
        <f>IF(COUNTBLANK(B33)=1," ",COUNTA($B$15:B33))</f>
        <v>18</v>
      </c>
      <c r="B33" s="153" t="s">
        <v>93</v>
      </c>
      <c r="C33" s="61" t="s">
        <v>517</v>
      </c>
      <c r="D33" s="59" t="s">
        <v>100</v>
      </c>
      <c r="E33" s="129">
        <v>1513</v>
      </c>
      <c r="F33" s="95"/>
      <c r="G33" s="98"/>
      <c r="H33" s="99"/>
      <c r="I33" s="99"/>
      <c r="J33" s="95"/>
      <c r="K33" s="268"/>
      <c r="L33" s="269"/>
      <c r="M33" s="269"/>
      <c r="N33" s="269"/>
      <c r="O33" s="269"/>
      <c r="P33" s="269"/>
    </row>
    <row r="34" spans="1:16" ht="22.5" x14ac:dyDescent="0.2">
      <c r="A34" s="101">
        <f>IF(COUNTBLANK(B34)=1," ",COUNTA($B$15:B34))</f>
        <v>19</v>
      </c>
      <c r="B34" s="153" t="s">
        <v>93</v>
      </c>
      <c r="C34" s="61" t="s">
        <v>426</v>
      </c>
      <c r="D34" s="59" t="s">
        <v>100</v>
      </c>
      <c r="E34" s="129">
        <v>49</v>
      </c>
      <c r="F34" s="95"/>
      <c r="G34" s="98"/>
      <c r="H34" s="99"/>
      <c r="I34" s="99"/>
      <c r="J34" s="95"/>
      <c r="K34" s="268"/>
      <c r="L34" s="269"/>
      <c r="M34" s="269"/>
      <c r="N34" s="269"/>
      <c r="O34" s="269"/>
      <c r="P34" s="269"/>
    </row>
    <row r="35" spans="1:16" ht="22.5" x14ac:dyDescent="0.2">
      <c r="A35" s="101">
        <f>IF(COUNTBLANK(B35)=1," ",COUNTA($B$15:B35))</f>
        <v>20</v>
      </c>
      <c r="B35" s="153" t="s">
        <v>93</v>
      </c>
      <c r="C35" s="61" t="s">
        <v>427</v>
      </c>
      <c r="D35" s="59" t="s">
        <v>100</v>
      </c>
      <c r="E35" s="129">
        <f>0.55*61.2</f>
        <v>33.660000000000004</v>
      </c>
      <c r="F35" s="95"/>
      <c r="G35" s="98"/>
      <c r="H35" s="99"/>
      <c r="I35" s="99"/>
      <c r="J35" s="95"/>
      <c r="K35" s="268"/>
      <c r="L35" s="269"/>
      <c r="M35" s="269"/>
      <c r="N35" s="269"/>
      <c r="O35" s="269"/>
      <c r="P35" s="269"/>
    </row>
    <row r="36" spans="1:16" ht="22.5" x14ac:dyDescent="0.2">
      <c r="A36" s="101">
        <f>IF(COUNTBLANK(B36)=1," ",COUNTA($B$15:B36))</f>
        <v>21</v>
      </c>
      <c r="B36" s="153" t="s">
        <v>93</v>
      </c>
      <c r="C36" s="61" t="s">
        <v>428</v>
      </c>
      <c r="D36" s="59" t="s">
        <v>107</v>
      </c>
      <c r="E36" s="129">
        <f>0.004*0.04*98*7800</f>
        <v>122.30400000000002</v>
      </c>
      <c r="F36" s="95"/>
      <c r="G36" s="98"/>
      <c r="H36" s="99"/>
      <c r="I36" s="99"/>
      <c r="J36" s="95"/>
      <c r="K36" s="268"/>
      <c r="L36" s="269"/>
      <c r="M36" s="269"/>
      <c r="N36" s="269"/>
      <c r="O36" s="269"/>
      <c r="P36" s="269"/>
    </row>
    <row r="37" spans="1:16" ht="22.5" x14ac:dyDescent="0.2">
      <c r="A37" s="101">
        <f>IF(COUNTBLANK(B37)=1," ",COUNTA($B$15:B37))</f>
        <v>22</v>
      </c>
      <c r="B37" s="153" t="s">
        <v>93</v>
      </c>
      <c r="C37" s="61" t="s">
        <v>429</v>
      </c>
      <c r="D37" s="59" t="s">
        <v>97</v>
      </c>
      <c r="E37" s="109">
        <f>2*122</f>
        <v>244</v>
      </c>
      <c r="F37" s="75"/>
      <c r="G37" s="98"/>
      <c r="H37" s="271"/>
      <c r="I37" s="75"/>
      <c r="J37" s="75"/>
      <c r="K37" s="268"/>
      <c r="L37" s="269"/>
      <c r="M37" s="269"/>
      <c r="N37" s="269"/>
      <c r="O37" s="269"/>
      <c r="P37" s="269"/>
    </row>
    <row r="38" spans="1:16" ht="22.5" x14ac:dyDescent="0.2">
      <c r="A38" s="101">
        <f>IF(COUNTBLANK(B38)=1," ",COUNTA($B$15:B38))</f>
        <v>23</v>
      </c>
      <c r="B38" s="153" t="s">
        <v>93</v>
      </c>
      <c r="C38" s="61" t="s">
        <v>430</v>
      </c>
      <c r="D38" s="59" t="s">
        <v>100</v>
      </c>
      <c r="E38" s="129">
        <f>0.85*61.2</f>
        <v>52.02</v>
      </c>
      <c r="F38" s="75"/>
      <c r="G38" s="98"/>
      <c r="H38" s="271"/>
      <c r="I38" s="75"/>
      <c r="J38" s="75"/>
      <c r="K38" s="268"/>
      <c r="L38" s="269"/>
      <c r="M38" s="269"/>
      <c r="N38" s="269"/>
      <c r="O38" s="269"/>
      <c r="P38" s="269"/>
    </row>
    <row r="39" spans="1:16" x14ac:dyDescent="0.2">
      <c r="A39" s="101">
        <f>IF(COUNTBLANK(B39)=1," ",COUNTA($B$15:B39))</f>
        <v>24</v>
      </c>
      <c r="B39" s="153" t="s">
        <v>93</v>
      </c>
      <c r="C39" s="61" t="s">
        <v>431</v>
      </c>
      <c r="D39" s="59" t="s">
        <v>100</v>
      </c>
      <c r="E39" s="129">
        <v>8</v>
      </c>
      <c r="F39" s="75"/>
      <c r="G39" s="98"/>
      <c r="H39" s="271"/>
      <c r="I39" s="75"/>
      <c r="J39" s="75"/>
      <c r="K39" s="268"/>
      <c r="L39" s="269"/>
      <c r="M39" s="269"/>
      <c r="N39" s="269"/>
      <c r="O39" s="269"/>
      <c r="P39" s="269"/>
    </row>
    <row r="40" spans="1:16" ht="22.5" x14ac:dyDescent="0.2">
      <c r="A40" s="101">
        <f>IF(COUNTBLANK(B40)=1," ",COUNTA($B$15:B40))</f>
        <v>25</v>
      </c>
      <c r="B40" s="153" t="s">
        <v>93</v>
      </c>
      <c r="C40" s="61" t="s">
        <v>432</v>
      </c>
      <c r="D40" s="59" t="s">
        <v>95</v>
      </c>
      <c r="E40" s="129">
        <v>311.2</v>
      </c>
      <c r="F40" s="75"/>
      <c r="G40" s="98"/>
      <c r="H40" s="271"/>
      <c r="I40" s="75"/>
      <c r="J40" s="75"/>
      <c r="K40" s="268"/>
      <c r="L40" s="269"/>
      <c r="M40" s="269"/>
      <c r="N40" s="269"/>
      <c r="O40" s="269"/>
      <c r="P40" s="269"/>
    </row>
    <row r="41" spans="1:16" ht="22.5" x14ac:dyDescent="0.2">
      <c r="A41" s="101">
        <f>IF(COUNTBLANK(B41)=1," ",COUNTA($B$15:B41))</f>
        <v>26</v>
      </c>
      <c r="B41" s="153" t="s">
        <v>93</v>
      </c>
      <c r="C41" s="61" t="s">
        <v>433</v>
      </c>
      <c r="D41" s="59" t="s">
        <v>100</v>
      </c>
      <c r="E41" s="129">
        <f>0.3*176</f>
        <v>52.8</v>
      </c>
      <c r="F41" s="75"/>
      <c r="G41" s="98"/>
      <c r="H41" s="271"/>
      <c r="I41" s="75"/>
      <c r="J41" s="75"/>
      <c r="K41" s="268"/>
      <c r="L41" s="269"/>
      <c r="M41" s="269"/>
      <c r="N41" s="269"/>
      <c r="O41" s="269"/>
      <c r="P41" s="269"/>
    </row>
    <row r="42" spans="1:16" ht="22.5" x14ac:dyDescent="0.2">
      <c r="A42" s="101">
        <f>IF(COUNTBLANK(B42)=1," ",COUNTA($B$15:B42))</f>
        <v>27</v>
      </c>
      <c r="B42" s="153" t="s">
        <v>93</v>
      </c>
      <c r="C42" s="61" t="s">
        <v>434</v>
      </c>
      <c r="D42" s="59" t="s">
        <v>100</v>
      </c>
      <c r="E42" s="129">
        <f>0.3*176</f>
        <v>52.8</v>
      </c>
      <c r="F42" s="95"/>
      <c r="G42" s="98"/>
      <c r="H42" s="99"/>
      <c r="I42" s="99"/>
      <c r="J42" s="95"/>
      <c r="K42" s="268"/>
      <c r="L42" s="269"/>
      <c r="M42" s="269"/>
      <c r="N42" s="269"/>
      <c r="O42" s="269"/>
      <c r="P42" s="269"/>
    </row>
    <row r="43" spans="1:16" ht="33.75" x14ac:dyDescent="0.2">
      <c r="A43" s="101">
        <f>IF(COUNTBLANK(B43)=1," ",COUNTA($B$15:B43))</f>
        <v>28</v>
      </c>
      <c r="B43" s="153" t="s">
        <v>93</v>
      </c>
      <c r="C43" s="61" t="s">
        <v>518</v>
      </c>
      <c r="D43" s="59" t="s">
        <v>97</v>
      </c>
      <c r="E43" s="109">
        <v>3</v>
      </c>
      <c r="F43" s="75"/>
      <c r="G43" s="98"/>
      <c r="H43" s="271"/>
      <c r="I43" s="75"/>
      <c r="J43" s="75"/>
      <c r="K43" s="268"/>
      <c r="L43" s="269"/>
      <c r="M43" s="269"/>
      <c r="N43" s="269"/>
      <c r="O43" s="269"/>
      <c r="P43" s="269"/>
    </row>
    <row r="44" spans="1:16" x14ac:dyDescent="0.2">
      <c r="A44" s="101">
        <f>IF(COUNTBLANK(B44)=1," ",COUNTA($B$15:B44))</f>
        <v>29</v>
      </c>
      <c r="B44" s="153" t="s">
        <v>93</v>
      </c>
      <c r="C44" s="61" t="s">
        <v>435</v>
      </c>
      <c r="D44" s="59" t="s">
        <v>95</v>
      </c>
      <c r="E44" s="129">
        <v>10.5</v>
      </c>
      <c r="F44" s="75"/>
      <c r="G44" s="98"/>
      <c r="H44" s="271"/>
      <c r="I44" s="75"/>
      <c r="J44" s="75"/>
      <c r="K44" s="268"/>
      <c r="L44" s="269"/>
      <c r="M44" s="269"/>
      <c r="N44" s="269"/>
      <c r="O44" s="269"/>
      <c r="P44" s="269"/>
    </row>
    <row r="45" spans="1:16" x14ac:dyDescent="0.2">
      <c r="A45" s="101">
        <f>IF(COUNTBLANK(B45)=1," ",COUNTA($B$15:B45))</f>
        <v>30</v>
      </c>
      <c r="B45" s="153" t="s">
        <v>93</v>
      </c>
      <c r="C45" s="283" t="s">
        <v>519</v>
      </c>
      <c r="D45" s="176" t="s">
        <v>95</v>
      </c>
      <c r="E45" s="170">
        <v>193</v>
      </c>
      <c r="F45" s="95"/>
      <c r="G45" s="98"/>
      <c r="H45" s="99"/>
      <c r="I45" s="99"/>
      <c r="J45" s="95"/>
      <c r="K45" s="268"/>
      <c r="L45" s="269"/>
      <c r="M45" s="269"/>
      <c r="N45" s="269"/>
      <c r="O45" s="269"/>
      <c r="P45" s="269"/>
    </row>
    <row r="46" spans="1:16" ht="22.5" x14ac:dyDescent="0.2">
      <c r="A46" s="101" t="str">
        <f>IF(COUNTBLANK(B46)=1," ",COUNTA($B$15:B46))</f>
        <v xml:space="preserve"> </v>
      </c>
      <c r="B46" s="272"/>
      <c r="C46" s="284" t="s">
        <v>436</v>
      </c>
      <c r="D46" s="59"/>
      <c r="E46" s="129"/>
      <c r="F46" s="95"/>
      <c r="G46" s="98"/>
      <c r="H46" s="99"/>
      <c r="I46" s="99"/>
      <c r="J46" s="95"/>
      <c r="K46" s="268"/>
      <c r="L46" s="269"/>
      <c r="M46" s="269"/>
      <c r="N46" s="269"/>
      <c r="O46" s="269"/>
      <c r="P46" s="269"/>
    </row>
    <row r="47" spans="1:16" ht="33.75" x14ac:dyDescent="0.2">
      <c r="A47" s="101">
        <f>IF(COUNTBLANK(B47)=1," ",COUNTA($B$15:B47))</f>
        <v>31</v>
      </c>
      <c r="B47" s="153" t="s">
        <v>93</v>
      </c>
      <c r="C47" s="61" t="s">
        <v>437</v>
      </c>
      <c r="D47" s="59" t="s">
        <v>100</v>
      </c>
      <c r="E47" s="129">
        <v>1068.4000000000001</v>
      </c>
      <c r="F47" s="95"/>
      <c r="G47" s="98"/>
      <c r="H47" s="99"/>
      <c r="I47" s="99"/>
      <c r="J47" s="95"/>
      <c r="K47" s="268"/>
      <c r="L47" s="269"/>
      <c r="M47" s="269"/>
      <c r="N47" s="269"/>
      <c r="O47" s="269"/>
      <c r="P47" s="269"/>
    </row>
    <row r="48" spans="1:16" ht="33.75" x14ac:dyDescent="0.2">
      <c r="A48" s="101">
        <f>IF(COUNTBLANK(B48)=1," ",COUNTA($B$15:B48))</f>
        <v>32</v>
      </c>
      <c r="B48" s="153" t="s">
        <v>93</v>
      </c>
      <c r="C48" s="61" t="s">
        <v>438</v>
      </c>
      <c r="D48" s="59" t="s">
        <v>100</v>
      </c>
      <c r="E48" s="129">
        <v>220.2</v>
      </c>
      <c r="F48" s="75"/>
      <c r="G48" s="98"/>
      <c r="H48" s="271"/>
      <c r="I48" s="75"/>
      <c r="J48" s="75"/>
      <c r="K48" s="268"/>
      <c r="L48" s="269"/>
      <c r="M48" s="269"/>
      <c r="N48" s="269"/>
      <c r="O48" s="269"/>
      <c r="P48" s="269"/>
    </row>
    <row r="49" spans="1:16" ht="22.5" x14ac:dyDescent="0.2">
      <c r="A49" s="101">
        <f>IF(COUNTBLANK(B49)=1," ",COUNTA($B$15:B49))</f>
        <v>33</v>
      </c>
      <c r="B49" s="153" t="s">
        <v>93</v>
      </c>
      <c r="C49" s="61" t="s">
        <v>439</v>
      </c>
      <c r="D49" s="59" t="s">
        <v>100</v>
      </c>
      <c r="E49" s="129">
        <v>220.2</v>
      </c>
      <c r="F49" s="95"/>
      <c r="G49" s="98"/>
      <c r="H49" s="99"/>
      <c r="I49" s="99"/>
      <c r="J49" s="95"/>
      <c r="K49" s="268"/>
      <c r="L49" s="269"/>
      <c r="M49" s="269"/>
      <c r="N49" s="269"/>
      <c r="O49" s="269"/>
      <c r="P49" s="269"/>
    </row>
    <row r="50" spans="1:16" x14ac:dyDescent="0.2">
      <c r="A50" s="101">
        <f>IF(COUNTBLANK(B50)=1," ",COUNTA($B$15:B50))</f>
        <v>34</v>
      </c>
      <c r="B50" s="153" t="s">
        <v>93</v>
      </c>
      <c r="C50" s="61" t="s">
        <v>520</v>
      </c>
      <c r="D50" s="59" t="s">
        <v>100</v>
      </c>
      <c r="E50" s="129">
        <v>220.2</v>
      </c>
      <c r="F50" s="95"/>
      <c r="G50" s="98"/>
      <c r="H50" s="99"/>
      <c r="I50" s="99"/>
      <c r="J50" s="95"/>
      <c r="K50" s="268"/>
      <c r="L50" s="269"/>
      <c r="M50" s="269"/>
      <c r="N50" s="269"/>
      <c r="O50" s="269"/>
      <c r="P50" s="269"/>
    </row>
    <row r="51" spans="1:16" ht="56.25" x14ac:dyDescent="0.2">
      <c r="A51" s="101">
        <f>IF(COUNTBLANK(B51)=1," ",COUNTA($B$15:B51))</f>
        <v>35</v>
      </c>
      <c r="B51" s="153" t="s">
        <v>93</v>
      </c>
      <c r="C51" s="61" t="s">
        <v>521</v>
      </c>
      <c r="D51" s="59" t="s">
        <v>95</v>
      </c>
      <c r="E51" s="129">
        <v>680</v>
      </c>
      <c r="F51" s="95"/>
      <c r="G51" s="98"/>
      <c r="H51" s="99"/>
      <c r="I51" s="99"/>
      <c r="J51" s="95"/>
      <c r="K51" s="268"/>
      <c r="L51" s="269"/>
      <c r="M51" s="269"/>
      <c r="N51" s="269"/>
      <c r="O51" s="269"/>
      <c r="P51" s="269"/>
    </row>
    <row r="52" spans="1:16" ht="33.75" x14ac:dyDescent="0.2">
      <c r="A52" s="101">
        <f>IF(COUNTBLANK(B52)=1," ",COUNTA($B$15:B52))</f>
        <v>36</v>
      </c>
      <c r="B52" s="153" t="s">
        <v>93</v>
      </c>
      <c r="C52" s="61" t="s">
        <v>440</v>
      </c>
      <c r="D52" s="59" t="s">
        <v>95</v>
      </c>
      <c r="E52" s="129">
        <v>330</v>
      </c>
      <c r="F52" s="95"/>
      <c r="G52" s="98"/>
      <c r="H52" s="99"/>
      <c r="I52" s="99"/>
      <c r="J52" s="95"/>
      <c r="K52" s="268"/>
      <c r="L52" s="269"/>
      <c r="M52" s="269"/>
      <c r="N52" s="269"/>
      <c r="O52" s="269"/>
      <c r="P52" s="269"/>
    </row>
    <row r="53" spans="1:16" x14ac:dyDescent="0.2">
      <c r="A53" s="101">
        <f>IF(COUNTBLANK(B53)=1," ",COUNTA($B$15:B53))</f>
        <v>37</v>
      </c>
      <c r="B53" s="153" t="s">
        <v>93</v>
      </c>
      <c r="C53" s="61" t="s">
        <v>522</v>
      </c>
      <c r="D53" s="59" t="s">
        <v>95</v>
      </c>
      <c r="E53" s="129">
        <v>327</v>
      </c>
      <c r="F53" s="95"/>
      <c r="G53" s="98"/>
      <c r="H53" s="99"/>
      <c r="I53" s="99"/>
      <c r="J53" s="95"/>
      <c r="K53" s="268"/>
      <c r="L53" s="269"/>
      <c r="M53" s="269"/>
      <c r="N53" s="269"/>
      <c r="O53" s="269"/>
      <c r="P53" s="269"/>
    </row>
    <row r="54" spans="1:16" ht="22.5" x14ac:dyDescent="0.2">
      <c r="A54" s="101">
        <f>IF(COUNTBLANK(B54)=1," ",COUNTA($B$15:B54))</f>
        <v>38</v>
      </c>
      <c r="B54" s="153" t="s">
        <v>93</v>
      </c>
      <c r="C54" s="61" t="s">
        <v>441</v>
      </c>
      <c r="D54" s="59" t="s">
        <v>97</v>
      </c>
      <c r="E54" s="109">
        <v>3</v>
      </c>
      <c r="F54" s="95"/>
      <c r="G54" s="98"/>
      <c r="H54" s="99"/>
      <c r="I54" s="99"/>
      <c r="J54" s="95"/>
      <c r="K54" s="268"/>
      <c r="L54" s="269"/>
      <c r="M54" s="269"/>
      <c r="N54" s="269"/>
      <c r="O54" s="269"/>
      <c r="P54" s="269"/>
    </row>
    <row r="55" spans="1:16" ht="22.5" x14ac:dyDescent="0.2">
      <c r="A55" s="101">
        <f>IF(COUNTBLANK(B55)=1," ",COUNTA($B$15:B55))</f>
        <v>39</v>
      </c>
      <c r="B55" s="153" t="s">
        <v>93</v>
      </c>
      <c r="C55" s="61" t="s">
        <v>523</v>
      </c>
      <c r="D55" s="59" t="s">
        <v>100</v>
      </c>
      <c r="E55" s="129">
        <v>1068.4000000000001</v>
      </c>
      <c r="F55" s="95"/>
      <c r="G55" s="98"/>
      <c r="H55" s="99"/>
      <c r="I55" s="99"/>
      <c r="J55" s="95"/>
      <c r="K55" s="268"/>
      <c r="L55" s="269"/>
      <c r="M55" s="269"/>
      <c r="N55" s="269"/>
      <c r="O55" s="269"/>
      <c r="P55" s="269"/>
    </row>
    <row r="56" spans="1:16" ht="22.5" x14ac:dyDescent="0.2">
      <c r="A56" s="101">
        <f>IF(COUNTBLANK(B56)=1," ",COUNTA($B$15:B56))</f>
        <v>40</v>
      </c>
      <c r="B56" s="153" t="s">
        <v>93</v>
      </c>
      <c r="C56" s="61" t="s">
        <v>524</v>
      </c>
      <c r="D56" s="59" t="s">
        <v>100</v>
      </c>
      <c r="E56" s="129">
        <v>1068.4000000000001</v>
      </c>
      <c r="F56" s="95"/>
      <c r="G56" s="98"/>
      <c r="H56" s="99"/>
      <c r="I56" s="99"/>
      <c r="J56" s="95"/>
      <c r="K56" s="268"/>
      <c r="L56" s="269"/>
      <c r="M56" s="269"/>
      <c r="N56" s="269"/>
      <c r="O56" s="269"/>
      <c r="P56" s="269"/>
    </row>
    <row r="57" spans="1:16" ht="45" x14ac:dyDescent="0.2">
      <c r="A57" s="101" t="str">
        <f>IF(COUNTBLANK(B57)=1," ",COUNTA($B$15:B57))</f>
        <v xml:space="preserve"> </v>
      </c>
      <c r="B57" s="272"/>
      <c r="C57" s="61" t="s">
        <v>442</v>
      </c>
      <c r="D57" s="59"/>
      <c r="E57" s="129"/>
      <c r="F57" s="95"/>
      <c r="G57" s="98"/>
      <c r="H57" s="99"/>
      <c r="I57" s="99"/>
      <c r="J57" s="95"/>
      <c r="K57" s="268"/>
      <c r="L57" s="269"/>
      <c r="M57" s="269"/>
      <c r="N57" s="269"/>
      <c r="O57" s="269"/>
      <c r="P57" s="269"/>
    </row>
    <row r="58" spans="1:16" ht="22.5" x14ac:dyDescent="0.2">
      <c r="A58" s="101"/>
      <c r="B58" s="272"/>
      <c r="C58" s="284" t="s">
        <v>443</v>
      </c>
      <c r="D58" s="59"/>
      <c r="E58" s="129"/>
      <c r="F58" s="95"/>
      <c r="G58" s="98"/>
      <c r="H58" s="99"/>
      <c r="I58" s="99"/>
      <c r="J58" s="95"/>
      <c r="K58" s="268"/>
      <c r="L58" s="269"/>
      <c r="M58" s="269"/>
      <c r="N58" s="269"/>
      <c r="O58" s="269"/>
      <c r="P58" s="269"/>
    </row>
    <row r="59" spans="1:16" x14ac:dyDescent="0.2">
      <c r="A59" s="101"/>
      <c r="B59" s="272"/>
      <c r="C59" s="285" t="s">
        <v>444</v>
      </c>
      <c r="D59" s="171"/>
      <c r="E59" s="171"/>
      <c r="F59" s="95"/>
      <c r="G59" s="98"/>
      <c r="H59" s="99"/>
      <c r="I59" s="99"/>
      <c r="J59" s="95"/>
      <c r="K59" s="268"/>
      <c r="L59" s="269"/>
      <c r="M59" s="269"/>
      <c r="N59" s="269"/>
      <c r="O59" s="269"/>
      <c r="P59" s="269"/>
    </row>
    <row r="60" spans="1:16" x14ac:dyDescent="0.2">
      <c r="A60" s="101">
        <f>IF(COUNTBLANK(B60)=1," ",COUNTA($B$15:B60))</f>
        <v>41</v>
      </c>
      <c r="B60" s="153" t="s">
        <v>93</v>
      </c>
      <c r="C60" s="286" t="s">
        <v>445</v>
      </c>
      <c r="D60" s="287" t="s">
        <v>97</v>
      </c>
      <c r="E60" s="172">
        <v>2</v>
      </c>
      <c r="F60" s="95"/>
      <c r="G60" s="98"/>
      <c r="H60" s="99"/>
      <c r="I60" s="99"/>
      <c r="J60" s="95"/>
      <c r="K60" s="268"/>
      <c r="L60" s="269"/>
      <c r="M60" s="269"/>
      <c r="N60" s="269"/>
      <c r="O60" s="269"/>
      <c r="P60" s="269"/>
    </row>
    <row r="61" spans="1:16" x14ac:dyDescent="0.2">
      <c r="A61" s="101">
        <f>IF(COUNTBLANK(B61)=1," ",COUNTA($B$15:B61))</f>
        <v>42</v>
      </c>
      <c r="B61" s="153" t="s">
        <v>93</v>
      </c>
      <c r="C61" s="286" t="s">
        <v>446</v>
      </c>
      <c r="D61" s="287" t="s">
        <v>107</v>
      </c>
      <c r="E61" s="172">
        <f>0.008*0.2*0.2*2*7800</f>
        <v>4.992</v>
      </c>
      <c r="F61" s="95"/>
      <c r="G61" s="98"/>
      <c r="H61" s="99"/>
      <c r="I61" s="99"/>
      <c r="J61" s="95"/>
      <c r="K61" s="268"/>
      <c r="L61" s="269"/>
      <c r="M61" s="269"/>
      <c r="N61" s="269"/>
      <c r="O61" s="269"/>
      <c r="P61" s="269"/>
    </row>
    <row r="62" spans="1:16" x14ac:dyDescent="0.2">
      <c r="A62" s="101">
        <f>IF(COUNTBLANK(B62)=1," ",COUNTA($B$15:B62))</f>
        <v>43</v>
      </c>
      <c r="B62" s="153" t="s">
        <v>93</v>
      </c>
      <c r="C62" s="286" t="s">
        <v>447</v>
      </c>
      <c r="D62" s="287" t="s">
        <v>97</v>
      </c>
      <c r="E62" s="172">
        <v>8</v>
      </c>
      <c r="F62" s="95"/>
      <c r="G62" s="98"/>
      <c r="H62" s="99"/>
      <c r="I62" s="99"/>
      <c r="J62" s="95"/>
      <c r="K62" s="268"/>
      <c r="L62" s="269"/>
      <c r="M62" s="269"/>
      <c r="N62" s="269"/>
      <c r="O62" s="269"/>
      <c r="P62" s="269"/>
    </row>
    <row r="63" spans="1:16" x14ac:dyDescent="0.2">
      <c r="A63" s="101">
        <f>IF(COUNTBLANK(B63)=1," ",COUNTA($B$15:B63))</f>
        <v>44</v>
      </c>
      <c r="B63" s="153" t="s">
        <v>93</v>
      </c>
      <c r="C63" s="286" t="s">
        <v>448</v>
      </c>
      <c r="D63" s="172" t="s">
        <v>95</v>
      </c>
      <c r="E63" s="172">
        <v>45</v>
      </c>
      <c r="F63" s="95"/>
      <c r="G63" s="98"/>
      <c r="H63" s="99"/>
      <c r="I63" s="99"/>
      <c r="J63" s="95"/>
      <c r="K63" s="268"/>
      <c r="L63" s="269"/>
      <c r="M63" s="269"/>
      <c r="N63" s="269"/>
      <c r="O63" s="269"/>
      <c r="P63" s="269"/>
    </row>
    <row r="64" spans="1:16" x14ac:dyDescent="0.2">
      <c r="A64" s="101">
        <f>IF(COUNTBLANK(B64)=1," ",COUNTA($B$15:B64))</f>
        <v>45</v>
      </c>
      <c r="B64" s="153" t="s">
        <v>93</v>
      </c>
      <c r="C64" s="286" t="s">
        <v>449</v>
      </c>
      <c r="D64" s="287" t="s">
        <v>97</v>
      </c>
      <c r="E64" s="172">
        <v>1</v>
      </c>
      <c r="F64" s="95"/>
      <c r="G64" s="98"/>
      <c r="H64" s="99"/>
      <c r="I64" s="99"/>
      <c r="J64" s="95"/>
      <c r="K64" s="268"/>
      <c r="L64" s="269"/>
      <c r="M64" s="269"/>
      <c r="N64" s="269"/>
      <c r="O64" s="269"/>
      <c r="P64" s="269"/>
    </row>
    <row r="65" spans="1:16" x14ac:dyDescent="0.2">
      <c r="A65" s="101">
        <f>IF(COUNTBLANK(B65)=1," ",COUNTA($B$15:B65))</f>
        <v>46</v>
      </c>
      <c r="B65" s="153" t="s">
        <v>93</v>
      </c>
      <c r="C65" s="286" t="s">
        <v>450</v>
      </c>
      <c r="D65" s="287" t="s">
        <v>97</v>
      </c>
      <c r="E65" s="172">
        <v>1</v>
      </c>
      <c r="F65" s="95"/>
      <c r="G65" s="98"/>
      <c r="H65" s="99"/>
      <c r="I65" s="99"/>
      <c r="J65" s="95"/>
      <c r="K65" s="268"/>
      <c r="L65" s="269"/>
      <c r="M65" s="269"/>
      <c r="N65" s="269"/>
      <c r="O65" s="269"/>
      <c r="P65" s="269"/>
    </row>
    <row r="66" spans="1:16" x14ac:dyDescent="0.2">
      <c r="A66" s="101">
        <f>IF(COUNTBLANK(B66)=1," ",COUNTA($B$15:B66))</f>
        <v>47</v>
      </c>
      <c r="B66" s="153" t="s">
        <v>93</v>
      </c>
      <c r="C66" s="285" t="s">
        <v>451</v>
      </c>
      <c r="D66" s="171"/>
      <c r="E66" s="171"/>
      <c r="F66" s="95"/>
      <c r="G66" s="98"/>
      <c r="H66" s="99"/>
      <c r="I66" s="99"/>
      <c r="J66" s="95"/>
      <c r="K66" s="268"/>
      <c r="L66" s="269"/>
      <c r="M66" s="269"/>
      <c r="N66" s="269"/>
      <c r="O66" s="269"/>
      <c r="P66" s="269"/>
    </row>
    <row r="67" spans="1:16" x14ac:dyDescent="0.2">
      <c r="A67" s="101">
        <f>IF(COUNTBLANK(B67)=1," ",COUNTA($B$15:B67))</f>
        <v>48</v>
      </c>
      <c r="B67" s="153" t="s">
        <v>93</v>
      </c>
      <c r="C67" s="286" t="s">
        <v>452</v>
      </c>
      <c r="D67" s="287" t="s">
        <v>95</v>
      </c>
      <c r="E67" s="172">
        <v>6</v>
      </c>
      <c r="F67" s="95"/>
      <c r="G67" s="98"/>
      <c r="H67" s="99"/>
      <c r="I67" s="99"/>
      <c r="J67" s="95"/>
      <c r="K67" s="268"/>
      <c r="L67" s="269"/>
      <c r="M67" s="269"/>
      <c r="N67" s="269"/>
      <c r="O67" s="269"/>
      <c r="P67" s="269"/>
    </row>
    <row r="68" spans="1:16" x14ac:dyDescent="0.2">
      <c r="A68" s="383" t="s">
        <v>545</v>
      </c>
      <c r="B68" s="383"/>
      <c r="C68" s="383"/>
      <c r="D68" s="383"/>
      <c r="E68" s="383"/>
      <c r="F68" s="383"/>
      <c r="G68" s="383"/>
      <c r="H68" s="383"/>
      <c r="I68" s="383"/>
      <c r="J68" s="383"/>
      <c r="K68" s="383"/>
      <c r="L68" s="288">
        <f>SUM(L14:L57)</f>
        <v>0</v>
      </c>
      <c r="M68" s="288">
        <f>SUM(M14:M57)</f>
        <v>0</v>
      </c>
      <c r="N68" s="288">
        <f>SUM(N14:N57)</f>
        <v>0</v>
      </c>
      <c r="O68" s="288">
        <f>SUM(O14:O57)</f>
        <v>0</v>
      </c>
      <c r="P68" s="288">
        <f>SUM(P14:P57)</f>
        <v>0</v>
      </c>
    </row>
    <row r="69" spans="1:16" x14ac:dyDescent="0.2">
      <c r="A69" s="173"/>
      <c r="B69" s="173"/>
      <c r="C69" s="173"/>
      <c r="D69" s="173"/>
      <c r="E69" s="173"/>
      <c r="F69" s="173"/>
      <c r="G69" s="173"/>
      <c r="H69" s="173"/>
      <c r="I69" s="173"/>
      <c r="J69" s="173"/>
      <c r="K69" s="173"/>
      <c r="L69" s="173"/>
      <c r="M69" s="173"/>
      <c r="N69" s="173"/>
      <c r="O69" s="173"/>
      <c r="P69" s="173"/>
    </row>
    <row r="70" spans="1:16" x14ac:dyDescent="0.2">
      <c r="A70" s="173"/>
      <c r="B70" s="173"/>
      <c r="C70" s="173"/>
      <c r="D70" s="173"/>
      <c r="E70" s="173"/>
      <c r="F70" s="173"/>
      <c r="G70" s="173"/>
      <c r="H70" s="173"/>
      <c r="I70" s="173"/>
      <c r="J70" s="173"/>
      <c r="K70" s="173"/>
      <c r="L70" s="173"/>
      <c r="M70" s="173"/>
      <c r="N70" s="173"/>
      <c r="O70" s="173"/>
      <c r="P70" s="173"/>
    </row>
    <row r="71" spans="1:16" x14ac:dyDescent="0.2">
      <c r="A71" s="174" t="s">
        <v>14</v>
      </c>
      <c r="B71" s="173"/>
      <c r="C71" s="358">
        <f>'Kops a'!C34:H34</f>
        <v>0</v>
      </c>
      <c r="D71" s="358"/>
      <c r="E71" s="358"/>
      <c r="F71" s="358"/>
      <c r="G71" s="358"/>
      <c r="H71" s="358"/>
      <c r="I71" s="173"/>
      <c r="J71" s="173"/>
      <c r="K71" s="173"/>
      <c r="L71" s="173"/>
      <c r="M71" s="173"/>
      <c r="N71" s="173"/>
      <c r="O71" s="173"/>
      <c r="P71" s="173"/>
    </row>
    <row r="72" spans="1:16" x14ac:dyDescent="0.2">
      <c r="A72" s="173"/>
      <c r="B72" s="173"/>
      <c r="C72" s="359" t="s">
        <v>15</v>
      </c>
      <c r="D72" s="359"/>
      <c r="E72" s="359"/>
      <c r="F72" s="359"/>
      <c r="G72" s="359"/>
      <c r="H72" s="359"/>
      <c r="I72" s="173"/>
      <c r="J72" s="173"/>
      <c r="K72" s="173"/>
      <c r="L72" s="173"/>
      <c r="M72" s="173"/>
      <c r="N72" s="173"/>
      <c r="O72" s="173"/>
      <c r="P72" s="173"/>
    </row>
    <row r="73" spans="1:16" x14ac:dyDescent="0.2">
      <c r="A73" s="173"/>
      <c r="B73" s="173"/>
      <c r="C73" s="173"/>
      <c r="D73" s="173"/>
      <c r="E73" s="173"/>
      <c r="F73" s="173"/>
      <c r="G73" s="173"/>
      <c r="H73" s="173"/>
      <c r="I73" s="173"/>
      <c r="J73" s="173"/>
      <c r="K73" s="173"/>
      <c r="L73" s="173"/>
      <c r="M73" s="173"/>
      <c r="N73" s="173"/>
      <c r="O73" s="173"/>
      <c r="P73" s="173"/>
    </row>
    <row r="74" spans="1:16" x14ac:dyDescent="0.2">
      <c r="A74" s="227" t="str">
        <f>'Kops a'!A37</f>
        <v>Tāme sastādīta 2021. gada</v>
      </c>
      <c r="B74" s="228"/>
      <c r="C74" s="228"/>
      <c r="D74" s="228"/>
      <c r="E74" s="173"/>
      <c r="F74" s="173"/>
      <c r="G74" s="173"/>
      <c r="H74" s="173"/>
      <c r="I74" s="173"/>
      <c r="J74" s="173"/>
      <c r="K74" s="173"/>
      <c r="L74" s="173"/>
      <c r="M74" s="173"/>
      <c r="N74" s="173"/>
      <c r="O74" s="173"/>
      <c r="P74" s="173"/>
    </row>
    <row r="75" spans="1:16" x14ac:dyDescent="0.2">
      <c r="A75" s="173"/>
      <c r="B75" s="173"/>
      <c r="C75" s="173"/>
      <c r="D75" s="173"/>
      <c r="E75" s="173"/>
      <c r="F75" s="173"/>
      <c r="G75" s="173"/>
      <c r="H75" s="173"/>
      <c r="I75" s="173"/>
      <c r="J75" s="173"/>
      <c r="K75" s="173"/>
      <c r="L75" s="173"/>
      <c r="M75" s="173"/>
      <c r="N75" s="173"/>
      <c r="O75" s="173"/>
      <c r="P75" s="173"/>
    </row>
    <row r="76" spans="1:16" x14ac:dyDescent="0.2">
      <c r="A76" s="174" t="s">
        <v>37</v>
      </c>
      <c r="B76" s="173"/>
      <c r="C76" s="358">
        <f>'Kops a'!C39:H39</f>
        <v>0</v>
      </c>
      <c r="D76" s="358"/>
      <c r="E76" s="358"/>
      <c r="F76" s="358"/>
      <c r="G76" s="358"/>
      <c r="H76" s="358"/>
      <c r="I76" s="173"/>
      <c r="J76" s="173"/>
      <c r="K76" s="173"/>
      <c r="L76" s="173"/>
      <c r="M76" s="173"/>
      <c r="N76" s="173"/>
      <c r="O76" s="173"/>
      <c r="P76" s="173"/>
    </row>
    <row r="77" spans="1:16" x14ac:dyDescent="0.2">
      <c r="A77" s="173"/>
      <c r="B77" s="173"/>
      <c r="C77" s="359" t="s">
        <v>15</v>
      </c>
      <c r="D77" s="359"/>
      <c r="E77" s="359"/>
      <c r="F77" s="359"/>
      <c r="G77" s="359"/>
      <c r="H77" s="359"/>
      <c r="I77" s="173"/>
      <c r="J77" s="173"/>
      <c r="K77" s="173"/>
      <c r="L77" s="173"/>
      <c r="M77" s="173"/>
      <c r="N77" s="173"/>
      <c r="O77" s="173"/>
      <c r="P77" s="173"/>
    </row>
    <row r="78" spans="1:16" x14ac:dyDescent="0.2">
      <c r="A78" s="173"/>
      <c r="B78" s="173"/>
      <c r="C78" s="173"/>
      <c r="D78" s="173"/>
      <c r="E78" s="173"/>
      <c r="F78" s="173"/>
      <c r="G78" s="173"/>
      <c r="H78" s="173"/>
      <c r="I78" s="173"/>
      <c r="J78" s="173"/>
      <c r="K78" s="173"/>
      <c r="L78" s="173"/>
      <c r="M78" s="173"/>
      <c r="N78" s="173"/>
      <c r="O78" s="173"/>
      <c r="P78" s="173"/>
    </row>
    <row r="79" spans="1:16" x14ac:dyDescent="0.2">
      <c r="A79" s="227" t="s">
        <v>54</v>
      </c>
      <c r="B79" s="228"/>
      <c r="C79" s="229">
        <f>'Kops a'!C42</f>
        <v>0</v>
      </c>
      <c r="D79" s="230"/>
      <c r="E79" s="173"/>
      <c r="F79" s="173"/>
      <c r="G79" s="173"/>
      <c r="H79" s="173"/>
      <c r="I79" s="173"/>
      <c r="J79" s="173"/>
      <c r="K79" s="173"/>
      <c r="L79" s="173"/>
      <c r="M79" s="173"/>
      <c r="N79" s="173"/>
      <c r="O79" s="173"/>
      <c r="P79" s="173"/>
    </row>
    <row r="80" spans="1:16" x14ac:dyDescent="0.2">
      <c r="A80" s="173"/>
      <c r="B80" s="173"/>
      <c r="C80" s="173"/>
      <c r="D80" s="173"/>
      <c r="E80" s="173"/>
      <c r="F80" s="173"/>
      <c r="G80" s="173"/>
      <c r="H80" s="173"/>
      <c r="I80" s="173"/>
      <c r="J80" s="173"/>
      <c r="K80" s="173"/>
      <c r="L80" s="173"/>
      <c r="M80" s="173"/>
      <c r="N80" s="173"/>
      <c r="O80" s="173"/>
      <c r="P80" s="173"/>
    </row>
    <row r="81" spans="1:15" x14ac:dyDescent="0.2">
      <c r="A81" s="231" t="s">
        <v>63</v>
      </c>
      <c r="B81" s="173"/>
      <c r="E81" s="167"/>
      <c r="F81" s="232"/>
      <c r="G81" s="167"/>
      <c r="H81" s="233"/>
      <c r="I81" s="233"/>
      <c r="J81" s="234"/>
      <c r="K81" s="235"/>
      <c r="L81" s="235"/>
      <c r="M81" s="235"/>
      <c r="N81" s="235"/>
      <c r="O81" s="235"/>
    </row>
    <row r="82" spans="1:15" x14ac:dyDescent="0.2">
      <c r="A82" s="357" t="s">
        <v>64</v>
      </c>
      <c r="B82" s="357"/>
      <c r="C82" s="357"/>
      <c r="D82" s="357"/>
      <c r="E82" s="357"/>
      <c r="F82" s="357"/>
      <c r="G82" s="357"/>
      <c r="H82" s="357"/>
      <c r="I82" s="357"/>
      <c r="J82" s="357"/>
      <c r="K82" s="357"/>
      <c r="L82" s="357"/>
      <c r="M82" s="357"/>
      <c r="N82" s="357"/>
      <c r="O82" s="357"/>
    </row>
    <row r="83" spans="1:15" x14ac:dyDescent="0.2">
      <c r="A83" s="357" t="s">
        <v>65</v>
      </c>
      <c r="B83" s="357"/>
      <c r="C83" s="357"/>
      <c r="D83" s="357"/>
      <c r="E83" s="357"/>
      <c r="F83" s="357"/>
      <c r="G83" s="357"/>
      <c r="H83" s="357"/>
      <c r="I83" s="357"/>
      <c r="J83" s="357"/>
      <c r="K83" s="357"/>
      <c r="L83" s="357"/>
      <c r="M83" s="357"/>
      <c r="N83" s="357"/>
      <c r="O83" s="357"/>
    </row>
  </sheetData>
  <autoFilter ref="A14:P68" xr:uid="{00000000-0009-0000-0000-00000A000000}"/>
  <mergeCells count="24">
    <mergeCell ref="D7:L7"/>
    <mergeCell ref="C2:I2"/>
    <mergeCell ref="C3:I3"/>
    <mergeCell ref="C4:I4"/>
    <mergeCell ref="D5:L5"/>
    <mergeCell ref="D6:L6"/>
    <mergeCell ref="D8:L8"/>
    <mergeCell ref="A9:F9"/>
    <mergeCell ref="J9:M9"/>
    <mergeCell ref="N9:O9"/>
    <mergeCell ref="A12:A13"/>
    <mergeCell ref="B12:B13"/>
    <mergeCell ref="C12:C13"/>
    <mergeCell ref="D12:D13"/>
    <mergeCell ref="E12:E13"/>
    <mergeCell ref="F12:K12"/>
    <mergeCell ref="A82:O82"/>
    <mergeCell ref="A83:O83"/>
    <mergeCell ref="L12:P12"/>
    <mergeCell ref="A68:K68"/>
    <mergeCell ref="C71:H71"/>
    <mergeCell ref="C72:H72"/>
    <mergeCell ref="C76:H76"/>
    <mergeCell ref="C77:H77"/>
  </mergeCells>
  <conditionalFormatting sqref="A14:G14 C15:G15 I14:J67 B16:G67 A15:A67">
    <cfRule type="cellIs" dxfId="38" priority="59" operator="equal">
      <formula>0</formula>
    </cfRule>
  </conditionalFormatting>
  <conditionalFormatting sqref="N9:O9 D5:L8 D1 K14:P67 H14:H67">
    <cfRule type="cellIs" dxfId="37" priority="58" operator="equal">
      <formula>0</formula>
    </cfRule>
  </conditionalFormatting>
  <conditionalFormatting sqref="A9:F9">
    <cfRule type="containsText" dxfId="36" priority="57"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4:I4">
    <cfRule type="cellIs" dxfId="35" priority="56" operator="equal">
      <formula>0</formula>
    </cfRule>
  </conditionalFormatting>
  <conditionalFormatting sqref="O10:P10">
    <cfRule type="cellIs" dxfId="34" priority="55" operator="equal">
      <formula>"20__. gada __. _________"</formula>
    </cfRule>
  </conditionalFormatting>
  <conditionalFormatting sqref="A68:K68">
    <cfRule type="containsText" dxfId="33" priority="54" operator="containsText" text="Tiešās izmaksas kopā, t. sk. darba devēja sociālais nodoklis __.__% ">
      <formula>NOT(ISERROR(SEARCH("Tiešās izmaksas kopā, t. sk. darba devēja sociālais nodoklis __.__% ",A68)))</formula>
    </cfRule>
  </conditionalFormatting>
  <conditionalFormatting sqref="L68:P68">
    <cfRule type="cellIs" dxfId="32" priority="53" operator="equal">
      <formula>0</formula>
    </cfRule>
  </conditionalFormatting>
  <conditionalFormatting sqref="C76:H76">
    <cfRule type="cellIs" dxfId="31" priority="47" operator="equal">
      <formula>0</formula>
    </cfRule>
  </conditionalFormatting>
  <conditionalFormatting sqref="C71:H71">
    <cfRule type="cellIs" dxfId="30" priority="46" operator="equal">
      <formula>0</formula>
    </cfRule>
  </conditionalFormatting>
  <conditionalFormatting sqref="C76:H76 C79 C71:H71">
    <cfRule type="cellIs" dxfId="29" priority="45" operator="equal">
      <formula>0</formula>
    </cfRule>
  </conditionalFormatting>
  <conditionalFormatting sqref="I29:J30 B29:G30">
    <cfRule type="cellIs" dxfId="28" priority="15" operator="equal">
      <formula>0</formula>
    </cfRule>
  </conditionalFormatting>
  <conditionalFormatting sqref="H29:H30 K29:P30">
    <cfRule type="cellIs" dxfId="27" priority="14" operator="equal">
      <formula>0</formula>
    </cfRule>
  </conditionalFormatting>
  <conditionalFormatting sqref="G16:G18 G20:G29 G31:G36 G42 G45:G47">
    <cfRule type="cellIs" dxfId="26" priority="13" operator="equal">
      <formula>0</formula>
    </cfRule>
  </conditionalFormatting>
  <conditionalFormatting sqref="B19:B45">
    <cfRule type="cellIs" dxfId="25" priority="6" operator="equal">
      <formula>0</formula>
    </cfRule>
  </conditionalFormatting>
  <conditionalFormatting sqref="B19:B45">
    <cfRule type="cellIs" dxfId="24" priority="5" operator="equal">
      <formula>0</formula>
    </cfRule>
  </conditionalFormatting>
  <conditionalFormatting sqref="B15:B17">
    <cfRule type="cellIs" dxfId="23" priority="8" operator="equal">
      <formula>0</formula>
    </cfRule>
  </conditionalFormatting>
  <conditionalFormatting sqref="B47:B56">
    <cfRule type="cellIs" dxfId="22" priority="3" operator="equal">
      <formula>0</formula>
    </cfRule>
  </conditionalFormatting>
  <conditionalFormatting sqref="B15:B17">
    <cfRule type="cellIs" dxfId="21" priority="9" operator="equal">
      <formula>0</formula>
    </cfRule>
  </conditionalFormatting>
  <conditionalFormatting sqref="B47:B56">
    <cfRule type="cellIs" dxfId="20" priority="4" operator="equal">
      <formula>0</formula>
    </cfRule>
  </conditionalFormatting>
  <conditionalFormatting sqref="B60:B67">
    <cfRule type="cellIs" dxfId="19" priority="1" operator="equal">
      <formula>0</formula>
    </cfRule>
  </conditionalFormatting>
  <conditionalFormatting sqref="B60:B67">
    <cfRule type="cellIs" dxfId="18" priority="2" operator="equal">
      <formula>0</formula>
    </cfRule>
  </conditionalFormatting>
  <pageMargins left="0.7" right="0.7" top="0.75" bottom="0.75" header="0.3" footer="0.3"/>
  <pageSetup paperSize="9" scale="93" fitToHeight="0" orientation="landscape" r:id="rId1"/>
  <headerFooter>
    <oddFooter>&amp;R&amp;P</oddFooter>
  </headerFooter>
  <rowBreaks count="1" manualBreakCount="1">
    <brk id="66" max="16383" man="1"/>
  </rowBreaks>
  <legacyDrawing r:id="rId2"/>
  <extLst>
    <ext xmlns:x14="http://schemas.microsoft.com/office/spreadsheetml/2009/9/main" uri="{78C0D931-6437-407d-A8EE-F0AAD7539E65}">
      <x14:conditionalFormattings>
        <x14:conditionalFormatting xmlns:xm="http://schemas.microsoft.com/office/excel/2006/main">
          <x14:cfRule type="containsText" priority="17" operator="containsText" id="{6DE91265-6DDF-4AA5-9D22-2668A2ED753B}">
            <xm:f>NOT(ISERROR(SEARCH("Tāme sastādīta ____. gada ___. ______________",A74)))</xm:f>
            <xm:f>"Tāme sastādīta ____. gada ___. ______________"</xm:f>
            <x14:dxf>
              <font>
                <color auto="1"/>
              </font>
              <fill>
                <patternFill>
                  <bgColor rgb="FFC6EFCE"/>
                </patternFill>
              </fill>
            </x14:dxf>
          </x14:cfRule>
          <xm:sqref>A74</xm:sqref>
        </x14:conditionalFormatting>
        <x14:conditionalFormatting xmlns:xm="http://schemas.microsoft.com/office/excel/2006/main">
          <x14:cfRule type="containsText" priority="16" operator="containsText" id="{B17FDF40-4286-4F6A-879C-01F90113EAE1}">
            <xm:f>NOT(ISERROR(SEARCH("Sertifikāta Nr. _________________________________",A79)))</xm:f>
            <xm:f>"Sertifikāta Nr. _________________________________"</xm:f>
            <x14:dxf>
              <font>
                <color auto="1"/>
              </font>
              <fill>
                <patternFill>
                  <bgColor rgb="FFC6EFCE"/>
                </patternFill>
              </fill>
            </x14:dxf>
          </x14:cfRule>
          <xm:sqref>A79</xm:sqref>
        </x14:conditionalFormatting>
      </x14:conditionalFormatting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5757"/>
    <pageSetUpPr fitToPage="1"/>
  </sheetPr>
  <dimension ref="A1:P82"/>
  <sheetViews>
    <sheetView tabSelected="1" view="pageBreakPreview" zoomScale="130" zoomScaleNormal="100" zoomScaleSheetLayoutView="130" workbookViewId="0">
      <selection activeCell="A10" sqref="A10"/>
    </sheetView>
  </sheetViews>
  <sheetFormatPr defaultColWidth="9.140625" defaultRowHeight="11.25" x14ac:dyDescent="0.2"/>
  <cols>
    <col min="1" max="1" width="4.5703125" style="174" customWidth="1"/>
    <col min="2" max="2" width="5.28515625" style="174" customWidth="1"/>
    <col min="3" max="3" width="38.42578125" style="174" customWidth="1"/>
    <col min="4" max="4" width="5.85546875" style="174" customWidth="1"/>
    <col min="5" max="5" width="8.7109375" style="174" customWidth="1"/>
    <col min="6" max="6" width="5.42578125" style="174" customWidth="1"/>
    <col min="7" max="7" width="4.85546875" style="174" customWidth="1"/>
    <col min="8" max="10" width="6.7109375" style="174" customWidth="1"/>
    <col min="11" max="11" width="7" style="174" customWidth="1"/>
    <col min="12" max="15" width="7.7109375" style="174" customWidth="1"/>
    <col min="16" max="16" width="9" style="174" customWidth="1"/>
    <col min="17" max="16384" width="9.140625" style="174"/>
  </cols>
  <sheetData>
    <row r="1" spans="1:16" x14ac:dyDescent="0.2">
      <c r="A1" s="167"/>
      <c r="B1" s="167"/>
      <c r="C1" s="194" t="s">
        <v>38</v>
      </c>
      <c r="D1" s="195">
        <f>'Kops a'!A24</f>
        <v>10</v>
      </c>
      <c r="E1" s="167"/>
      <c r="F1" s="167"/>
      <c r="G1" s="167"/>
      <c r="H1" s="167"/>
      <c r="I1" s="167"/>
      <c r="J1" s="167"/>
      <c r="N1" s="196"/>
      <c r="O1" s="194"/>
      <c r="P1" s="197"/>
    </row>
    <row r="2" spans="1:16" x14ac:dyDescent="0.2">
      <c r="A2" s="198"/>
      <c r="B2" s="198"/>
      <c r="C2" s="338" t="s">
        <v>67</v>
      </c>
      <c r="D2" s="338"/>
      <c r="E2" s="338"/>
      <c r="F2" s="338"/>
      <c r="G2" s="338"/>
      <c r="H2" s="338"/>
      <c r="I2" s="338"/>
      <c r="J2" s="198"/>
    </row>
    <row r="3" spans="1:16" x14ac:dyDescent="0.2">
      <c r="A3" s="199"/>
      <c r="B3" s="199"/>
      <c r="C3" s="339" t="s">
        <v>17</v>
      </c>
      <c r="D3" s="339"/>
      <c r="E3" s="339"/>
      <c r="F3" s="339"/>
      <c r="G3" s="339"/>
      <c r="H3" s="339"/>
      <c r="I3" s="339"/>
      <c r="J3" s="199"/>
    </row>
    <row r="4" spans="1:16" x14ac:dyDescent="0.2">
      <c r="A4" s="199"/>
      <c r="B4" s="199"/>
      <c r="C4" s="340" t="s">
        <v>52</v>
      </c>
      <c r="D4" s="340"/>
      <c r="E4" s="340"/>
      <c r="F4" s="340"/>
      <c r="G4" s="340"/>
      <c r="H4" s="340"/>
      <c r="I4" s="340"/>
      <c r="J4" s="199"/>
    </row>
    <row r="5" spans="1:16" x14ac:dyDescent="0.2">
      <c r="A5" s="167"/>
      <c r="B5" s="167"/>
      <c r="C5" s="194" t="s">
        <v>5</v>
      </c>
      <c r="D5" s="354" t="str">
        <f>'Kops a'!D6</f>
        <v>Dzīvojamās ēkas vienkāršotā atjaunošana</v>
      </c>
      <c r="E5" s="354"/>
      <c r="F5" s="354"/>
      <c r="G5" s="354"/>
      <c r="H5" s="354"/>
      <c r="I5" s="354"/>
      <c r="J5" s="354"/>
      <c r="K5" s="354"/>
      <c r="L5" s="354"/>
      <c r="M5" s="173"/>
      <c r="N5" s="173"/>
      <c r="O5" s="173"/>
      <c r="P5" s="173"/>
    </row>
    <row r="6" spans="1:16" x14ac:dyDescent="0.2">
      <c r="A6" s="167"/>
      <c r="B6" s="167"/>
      <c r="C6" s="194" t="s">
        <v>6</v>
      </c>
      <c r="D6" s="354" t="str">
        <f>'Kops a'!D7</f>
        <v>Daudzdzīvokļu dzīvojamās ēkas energoefektivitātes paaugstināšanas pasākumi</v>
      </c>
      <c r="E6" s="354"/>
      <c r="F6" s="354"/>
      <c r="G6" s="354"/>
      <c r="H6" s="354"/>
      <c r="I6" s="354"/>
      <c r="J6" s="354"/>
      <c r="K6" s="354"/>
      <c r="L6" s="354"/>
      <c r="M6" s="173"/>
      <c r="N6" s="173"/>
      <c r="O6" s="173"/>
      <c r="P6" s="173"/>
    </row>
    <row r="7" spans="1:16" x14ac:dyDescent="0.2">
      <c r="A7" s="167"/>
      <c r="B7" s="167"/>
      <c r="C7" s="194" t="s">
        <v>7</v>
      </c>
      <c r="D7" s="354" t="str">
        <f>'Kops a'!D8</f>
        <v>Dzērves iela 23, Liepāja</v>
      </c>
      <c r="E7" s="354"/>
      <c r="F7" s="354"/>
      <c r="G7" s="354"/>
      <c r="H7" s="354"/>
      <c r="I7" s="354"/>
      <c r="J7" s="354"/>
      <c r="K7" s="354"/>
      <c r="L7" s="354"/>
      <c r="M7" s="173"/>
      <c r="N7" s="173"/>
      <c r="O7" s="173"/>
      <c r="P7" s="173"/>
    </row>
    <row r="8" spans="1:16" x14ac:dyDescent="0.2">
      <c r="A8" s="167"/>
      <c r="B8" s="167"/>
      <c r="C8" s="200" t="s">
        <v>20</v>
      </c>
      <c r="D8" s="354" t="str">
        <f>'Kops a'!D9</f>
        <v>EA-14-17/WOOS</v>
      </c>
      <c r="E8" s="354"/>
      <c r="F8" s="354"/>
      <c r="G8" s="354"/>
      <c r="H8" s="354"/>
      <c r="I8" s="354"/>
      <c r="J8" s="354"/>
      <c r="K8" s="354"/>
      <c r="L8" s="354"/>
      <c r="M8" s="173"/>
      <c r="N8" s="173"/>
      <c r="O8" s="173"/>
      <c r="P8" s="173"/>
    </row>
    <row r="9" spans="1:16" x14ac:dyDescent="0.2">
      <c r="A9" s="341" t="s">
        <v>565</v>
      </c>
      <c r="B9" s="341"/>
      <c r="C9" s="341"/>
      <c r="D9" s="341"/>
      <c r="E9" s="341"/>
      <c r="F9" s="341"/>
      <c r="G9" s="175"/>
      <c r="H9" s="175"/>
      <c r="I9" s="175"/>
      <c r="J9" s="345" t="s">
        <v>39</v>
      </c>
      <c r="K9" s="345"/>
      <c r="L9" s="345"/>
      <c r="M9" s="345"/>
      <c r="N9" s="353">
        <f>P67</f>
        <v>0</v>
      </c>
      <c r="O9" s="353"/>
      <c r="P9" s="175"/>
    </row>
    <row r="10" spans="1:16" x14ac:dyDescent="0.2">
      <c r="A10" s="201"/>
      <c r="B10" s="202"/>
      <c r="C10" s="200"/>
      <c r="D10" s="167"/>
      <c r="E10" s="167"/>
      <c r="F10" s="167"/>
      <c r="G10" s="167"/>
      <c r="H10" s="167"/>
      <c r="I10" s="167"/>
      <c r="J10" s="167"/>
      <c r="K10" s="167"/>
      <c r="L10" s="198"/>
      <c r="M10" s="198"/>
      <c r="O10" s="237"/>
      <c r="P10" s="204" t="str">
        <f>A73</f>
        <v>Tāme sastādīta 2021. gada</v>
      </c>
    </row>
    <row r="11" spans="1:16" ht="12" thickBot="1" x14ac:dyDescent="0.25">
      <c r="A11" s="201"/>
      <c r="B11" s="202"/>
      <c r="C11" s="200"/>
      <c r="D11" s="167"/>
      <c r="E11" s="167"/>
      <c r="F11" s="167"/>
      <c r="G11" s="167"/>
      <c r="H11" s="167"/>
      <c r="I11" s="167"/>
      <c r="J11" s="167"/>
      <c r="K11" s="167"/>
      <c r="L11" s="205"/>
      <c r="M11" s="205"/>
      <c r="N11" s="206"/>
      <c r="O11" s="196"/>
      <c r="P11" s="167"/>
    </row>
    <row r="12" spans="1:16" x14ac:dyDescent="0.2">
      <c r="A12" s="346" t="s">
        <v>23</v>
      </c>
      <c r="B12" s="348" t="s">
        <v>40</v>
      </c>
      <c r="C12" s="343" t="s">
        <v>41</v>
      </c>
      <c r="D12" s="351" t="s">
        <v>42</v>
      </c>
      <c r="E12" s="355" t="s">
        <v>43</v>
      </c>
      <c r="F12" s="342" t="s">
        <v>44</v>
      </c>
      <c r="G12" s="343"/>
      <c r="H12" s="343"/>
      <c r="I12" s="343"/>
      <c r="J12" s="343"/>
      <c r="K12" s="344"/>
      <c r="L12" s="342" t="s">
        <v>45</v>
      </c>
      <c r="M12" s="343"/>
      <c r="N12" s="343"/>
      <c r="O12" s="343"/>
      <c r="P12" s="344"/>
    </row>
    <row r="13" spans="1:16" ht="117.75" x14ac:dyDescent="0.2">
      <c r="A13" s="373"/>
      <c r="B13" s="384"/>
      <c r="C13" s="385"/>
      <c r="D13" s="386"/>
      <c r="E13" s="377"/>
      <c r="F13" s="247" t="s">
        <v>46</v>
      </c>
      <c r="G13" s="289" t="s">
        <v>47</v>
      </c>
      <c r="H13" s="289" t="s">
        <v>48</v>
      </c>
      <c r="I13" s="289" t="s">
        <v>49</v>
      </c>
      <c r="J13" s="289" t="s">
        <v>50</v>
      </c>
      <c r="K13" s="249" t="s">
        <v>51</v>
      </c>
      <c r="L13" s="247" t="s">
        <v>46</v>
      </c>
      <c r="M13" s="289" t="s">
        <v>48</v>
      </c>
      <c r="N13" s="289" t="s">
        <v>49</v>
      </c>
      <c r="O13" s="289" t="s">
        <v>50</v>
      </c>
      <c r="P13" s="249" t="s">
        <v>51</v>
      </c>
    </row>
    <row r="14" spans="1:16" x14ac:dyDescent="0.2">
      <c r="A14" s="114"/>
      <c r="B14" s="114"/>
      <c r="C14" s="290" t="s">
        <v>180</v>
      </c>
      <c r="D14" s="114"/>
      <c r="E14" s="114"/>
      <c r="F14" s="211"/>
      <c r="G14" s="211"/>
      <c r="H14" s="211"/>
      <c r="I14" s="211"/>
      <c r="J14" s="211"/>
      <c r="K14" s="211"/>
      <c r="L14" s="211"/>
      <c r="M14" s="211"/>
      <c r="N14" s="211"/>
      <c r="O14" s="211"/>
      <c r="P14" s="211"/>
    </row>
    <row r="15" spans="1:16" ht="22.5" x14ac:dyDescent="0.2">
      <c r="A15" s="101">
        <f>IF(COUNTBLANK(B15)=1," ",COUNTA($B$14:B15))</f>
        <v>1</v>
      </c>
      <c r="B15" s="59" t="s">
        <v>93</v>
      </c>
      <c r="C15" s="61" t="s">
        <v>181</v>
      </c>
      <c r="D15" s="59" t="s">
        <v>95</v>
      </c>
      <c r="E15" s="59">
        <v>16</v>
      </c>
      <c r="F15" s="75"/>
      <c r="G15" s="75"/>
      <c r="H15" s="75"/>
      <c r="I15" s="75"/>
      <c r="J15" s="115"/>
      <c r="K15" s="115"/>
      <c r="L15" s="75"/>
      <c r="M15" s="75"/>
      <c r="N15" s="75"/>
      <c r="O15" s="75"/>
      <c r="P15" s="75"/>
    </row>
    <row r="16" spans="1:16" ht="22.5" x14ac:dyDescent="0.2">
      <c r="A16" s="101">
        <f>IF(COUNTBLANK(B16)=1," ",COUNTA($B$14:B16))</f>
        <v>2</v>
      </c>
      <c r="B16" s="59" t="s">
        <v>93</v>
      </c>
      <c r="C16" s="61" t="s">
        <v>182</v>
      </c>
      <c r="D16" s="59" t="s">
        <v>95</v>
      </c>
      <c r="E16" s="59">
        <v>140</v>
      </c>
      <c r="F16" s="75"/>
      <c r="G16" s="75"/>
      <c r="H16" s="75"/>
      <c r="I16" s="75"/>
      <c r="J16" s="115"/>
      <c r="K16" s="115"/>
      <c r="L16" s="75"/>
      <c r="M16" s="75"/>
      <c r="N16" s="75"/>
      <c r="O16" s="75"/>
      <c r="P16" s="75"/>
    </row>
    <row r="17" spans="1:16" ht="22.5" x14ac:dyDescent="0.2">
      <c r="A17" s="101">
        <f>IF(COUNTBLANK(B17)=1," ",COUNTA($B$14:B17))</f>
        <v>3</v>
      </c>
      <c r="B17" s="59" t="s">
        <v>93</v>
      </c>
      <c r="C17" s="61" t="s">
        <v>183</v>
      </c>
      <c r="D17" s="59" t="s">
        <v>95</v>
      </c>
      <c r="E17" s="59">
        <v>160</v>
      </c>
      <c r="F17" s="75"/>
      <c r="G17" s="75"/>
      <c r="H17" s="75"/>
      <c r="I17" s="75"/>
      <c r="J17" s="115"/>
      <c r="K17" s="115"/>
      <c r="L17" s="75"/>
      <c r="M17" s="75"/>
      <c r="N17" s="75"/>
      <c r="O17" s="75"/>
      <c r="P17" s="75"/>
    </row>
    <row r="18" spans="1:16" ht="22.5" x14ac:dyDescent="0.2">
      <c r="A18" s="101">
        <f>IF(COUNTBLANK(B18)=1," ",COUNTA($B$14:B18))</f>
        <v>4</v>
      </c>
      <c r="B18" s="59" t="s">
        <v>93</v>
      </c>
      <c r="C18" s="61" t="s">
        <v>184</v>
      </c>
      <c r="D18" s="59" t="s">
        <v>95</v>
      </c>
      <c r="E18" s="59">
        <v>154</v>
      </c>
      <c r="F18" s="75"/>
      <c r="G18" s="75"/>
      <c r="H18" s="75"/>
      <c r="I18" s="75"/>
      <c r="J18" s="115"/>
      <c r="K18" s="115"/>
      <c r="L18" s="75"/>
      <c r="M18" s="75"/>
      <c r="N18" s="75"/>
      <c r="O18" s="75"/>
      <c r="P18" s="75"/>
    </row>
    <row r="19" spans="1:16" ht="22.5" x14ac:dyDescent="0.2">
      <c r="A19" s="101">
        <f>IF(COUNTBLANK(B19)=1," ",COUNTA($B$14:B19))</f>
        <v>5</v>
      </c>
      <c r="B19" s="59" t="s">
        <v>93</v>
      </c>
      <c r="C19" s="61" t="s">
        <v>185</v>
      </c>
      <c r="D19" s="59" t="s">
        <v>95</v>
      </c>
      <c r="E19" s="59">
        <v>88</v>
      </c>
      <c r="F19" s="75"/>
      <c r="G19" s="75"/>
      <c r="H19" s="75"/>
      <c r="I19" s="75"/>
      <c r="J19" s="115"/>
      <c r="K19" s="115"/>
      <c r="L19" s="75"/>
      <c r="M19" s="75"/>
      <c r="N19" s="75"/>
      <c r="O19" s="75"/>
      <c r="P19" s="75"/>
    </row>
    <row r="20" spans="1:16" x14ac:dyDescent="0.2">
      <c r="A20" s="101">
        <f>IF(COUNTBLANK(B20)=1," ",COUNTA($B$14:B20))</f>
        <v>6</v>
      </c>
      <c r="B20" s="59" t="s">
        <v>93</v>
      </c>
      <c r="C20" s="61" t="s">
        <v>186</v>
      </c>
      <c r="D20" s="59" t="s">
        <v>97</v>
      </c>
      <c r="E20" s="59">
        <v>4</v>
      </c>
      <c r="F20" s="75"/>
      <c r="G20" s="75"/>
      <c r="H20" s="75"/>
      <c r="I20" s="75"/>
      <c r="J20" s="115"/>
      <c r="K20" s="115"/>
      <c r="L20" s="75"/>
      <c r="M20" s="75"/>
      <c r="N20" s="75"/>
      <c r="O20" s="75"/>
      <c r="P20" s="75"/>
    </row>
    <row r="21" spans="1:16" x14ac:dyDescent="0.2">
      <c r="A21" s="101">
        <f>IF(COUNTBLANK(B21)=1," ",COUNTA($B$14:B21))</f>
        <v>7</v>
      </c>
      <c r="B21" s="59" t="s">
        <v>93</v>
      </c>
      <c r="C21" s="61" t="s">
        <v>187</v>
      </c>
      <c r="D21" s="59" t="s">
        <v>97</v>
      </c>
      <c r="E21" s="59">
        <v>18</v>
      </c>
      <c r="F21" s="75"/>
      <c r="G21" s="75"/>
      <c r="H21" s="75"/>
      <c r="I21" s="75"/>
      <c r="J21" s="115"/>
      <c r="K21" s="115"/>
      <c r="L21" s="75"/>
      <c r="M21" s="75"/>
      <c r="N21" s="75"/>
      <c r="O21" s="75"/>
      <c r="P21" s="75"/>
    </row>
    <row r="22" spans="1:16" x14ac:dyDescent="0.2">
      <c r="A22" s="101">
        <f>IF(COUNTBLANK(B22)=1," ",COUNTA($B$14:B22))</f>
        <v>8</v>
      </c>
      <c r="B22" s="59" t="s">
        <v>93</v>
      </c>
      <c r="C22" s="62" t="s">
        <v>188</v>
      </c>
      <c r="D22" s="59" t="s">
        <v>97</v>
      </c>
      <c r="E22" s="59">
        <v>4</v>
      </c>
      <c r="F22" s="75"/>
      <c r="G22" s="75"/>
      <c r="H22" s="75"/>
      <c r="I22" s="75"/>
      <c r="J22" s="115"/>
      <c r="K22" s="115"/>
      <c r="L22" s="75"/>
      <c r="M22" s="75"/>
      <c r="N22" s="75"/>
      <c r="O22" s="75"/>
      <c r="P22" s="75"/>
    </row>
    <row r="23" spans="1:16" x14ac:dyDescent="0.2">
      <c r="A23" s="101">
        <f>IF(COUNTBLANK(B23)=1," ",COUNTA($B$14:B23))</f>
        <v>9</v>
      </c>
      <c r="B23" s="59" t="s">
        <v>93</v>
      </c>
      <c r="C23" s="61" t="s">
        <v>189</v>
      </c>
      <c r="D23" s="59" t="s">
        <v>97</v>
      </c>
      <c r="E23" s="59">
        <v>24</v>
      </c>
      <c r="F23" s="75"/>
      <c r="G23" s="75"/>
      <c r="H23" s="75"/>
      <c r="I23" s="75"/>
      <c r="J23" s="115"/>
      <c r="K23" s="115"/>
      <c r="L23" s="75"/>
      <c r="M23" s="75"/>
      <c r="N23" s="75"/>
      <c r="O23" s="75"/>
      <c r="P23" s="75"/>
    </row>
    <row r="24" spans="1:16" x14ac:dyDescent="0.2">
      <c r="A24" s="101">
        <f>IF(COUNTBLANK(B24)=1," ",COUNTA($B$14:B24))</f>
        <v>10</v>
      </c>
      <c r="B24" s="59" t="s">
        <v>93</v>
      </c>
      <c r="C24" s="61" t="s">
        <v>190</v>
      </c>
      <c r="D24" s="59" t="s">
        <v>97</v>
      </c>
      <c r="E24" s="59">
        <v>34</v>
      </c>
      <c r="F24" s="75"/>
      <c r="G24" s="75"/>
      <c r="H24" s="75"/>
      <c r="I24" s="75"/>
      <c r="J24" s="115"/>
      <c r="K24" s="115"/>
      <c r="L24" s="75"/>
      <c r="M24" s="75"/>
      <c r="N24" s="75"/>
      <c r="O24" s="75"/>
      <c r="P24" s="75"/>
    </row>
    <row r="25" spans="1:16" x14ac:dyDescent="0.2">
      <c r="A25" s="101">
        <f>IF(COUNTBLANK(B25)=1," ",COUNTA($B$14:B25))</f>
        <v>11</v>
      </c>
      <c r="B25" s="59" t="s">
        <v>93</v>
      </c>
      <c r="C25" s="61" t="s">
        <v>191</v>
      </c>
      <c r="D25" s="59" t="s">
        <v>97</v>
      </c>
      <c r="E25" s="59">
        <v>16</v>
      </c>
      <c r="F25" s="75"/>
      <c r="G25" s="75"/>
      <c r="H25" s="75"/>
      <c r="I25" s="75"/>
      <c r="J25" s="115"/>
      <c r="K25" s="115"/>
      <c r="L25" s="75"/>
      <c r="M25" s="75"/>
      <c r="N25" s="75"/>
      <c r="O25" s="75"/>
      <c r="P25" s="75"/>
    </row>
    <row r="26" spans="1:16" x14ac:dyDescent="0.2">
      <c r="A26" s="101">
        <f>IF(COUNTBLANK(B26)=1," ",COUNTA($B$14:B26))</f>
        <v>12</v>
      </c>
      <c r="B26" s="59" t="s">
        <v>93</v>
      </c>
      <c r="C26" s="61" t="s">
        <v>192</v>
      </c>
      <c r="D26" s="59" t="s">
        <v>97</v>
      </c>
      <c r="E26" s="59">
        <v>50</v>
      </c>
      <c r="F26" s="75"/>
      <c r="G26" s="75"/>
      <c r="H26" s="75"/>
      <c r="I26" s="75"/>
      <c r="J26" s="115"/>
      <c r="K26" s="115"/>
      <c r="L26" s="75"/>
      <c r="M26" s="75"/>
      <c r="N26" s="75"/>
      <c r="O26" s="75"/>
      <c r="P26" s="75"/>
    </row>
    <row r="27" spans="1:16" x14ac:dyDescent="0.2">
      <c r="A27" s="101">
        <f>IF(COUNTBLANK(B27)=1," ",COUNTA($B$14:B27))</f>
        <v>13</v>
      </c>
      <c r="B27" s="59" t="s">
        <v>93</v>
      </c>
      <c r="C27" s="61" t="s">
        <v>193</v>
      </c>
      <c r="D27" s="59" t="s">
        <v>97</v>
      </c>
      <c r="E27" s="59">
        <v>6</v>
      </c>
      <c r="F27" s="75"/>
      <c r="G27" s="75"/>
      <c r="H27" s="75"/>
      <c r="I27" s="75"/>
      <c r="J27" s="115"/>
      <c r="K27" s="115"/>
      <c r="L27" s="75"/>
      <c r="M27" s="75"/>
      <c r="N27" s="75"/>
      <c r="O27" s="75"/>
      <c r="P27" s="75"/>
    </row>
    <row r="28" spans="1:16" x14ac:dyDescent="0.2">
      <c r="A28" s="101">
        <f>IF(COUNTBLANK(B28)=1," ",COUNTA($B$14:B28))</f>
        <v>14</v>
      </c>
      <c r="B28" s="59" t="s">
        <v>93</v>
      </c>
      <c r="C28" s="61" t="s">
        <v>194</v>
      </c>
      <c r="D28" s="59" t="s">
        <v>97</v>
      </c>
      <c r="E28" s="59">
        <v>12</v>
      </c>
      <c r="F28" s="75"/>
      <c r="G28" s="75"/>
      <c r="H28" s="75"/>
      <c r="I28" s="75"/>
      <c r="J28" s="115"/>
      <c r="K28" s="115"/>
      <c r="L28" s="75"/>
      <c r="M28" s="75"/>
      <c r="N28" s="75"/>
      <c r="O28" s="75"/>
      <c r="P28" s="75"/>
    </row>
    <row r="29" spans="1:16" x14ac:dyDescent="0.2">
      <c r="A29" s="101">
        <f>IF(COUNTBLANK(B29)=1," ",COUNTA($B$14:B29))</f>
        <v>15</v>
      </c>
      <c r="B29" s="59" t="s">
        <v>93</v>
      </c>
      <c r="C29" s="61" t="s">
        <v>195</v>
      </c>
      <c r="D29" s="59" t="s">
        <v>97</v>
      </c>
      <c r="E29" s="59">
        <v>16</v>
      </c>
      <c r="F29" s="75"/>
      <c r="G29" s="75"/>
      <c r="H29" s="75"/>
      <c r="I29" s="75"/>
      <c r="J29" s="115"/>
      <c r="K29" s="115"/>
      <c r="L29" s="75"/>
      <c r="M29" s="75"/>
      <c r="N29" s="75"/>
      <c r="O29" s="75"/>
      <c r="P29" s="75"/>
    </row>
    <row r="30" spans="1:16" x14ac:dyDescent="0.2">
      <c r="A30" s="101">
        <f>IF(COUNTBLANK(B30)=1," ",COUNTA($B$14:B30))</f>
        <v>16</v>
      </c>
      <c r="B30" s="59" t="s">
        <v>93</v>
      </c>
      <c r="C30" s="61" t="s">
        <v>196</v>
      </c>
      <c r="D30" s="59" t="s">
        <v>97</v>
      </c>
      <c r="E30" s="59">
        <v>16</v>
      </c>
      <c r="F30" s="75"/>
      <c r="G30" s="75"/>
      <c r="H30" s="75"/>
      <c r="I30" s="75"/>
      <c r="J30" s="115"/>
      <c r="K30" s="115"/>
      <c r="L30" s="75"/>
      <c r="M30" s="75"/>
      <c r="N30" s="75"/>
      <c r="O30" s="75"/>
      <c r="P30" s="75"/>
    </row>
    <row r="31" spans="1:16" x14ac:dyDescent="0.2">
      <c r="A31" s="101">
        <f>IF(COUNTBLANK(B31)=1," ",COUNTA($B$14:B31))</f>
        <v>17</v>
      </c>
      <c r="B31" s="59" t="s">
        <v>93</v>
      </c>
      <c r="C31" s="61" t="s">
        <v>197</v>
      </c>
      <c r="D31" s="59" t="s">
        <v>97</v>
      </c>
      <c r="E31" s="59">
        <v>80</v>
      </c>
      <c r="F31" s="75"/>
      <c r="G31" s="75"/>
      <c r="H31" s="75"/>
      <c r="I31" s="75"/>
      <c r="J31" s="115"/>
      <c r="K31" s="115"/>
      <c r="L31" s="75"/>
      <c r="M31" s="75"/>
      <c r="N31" s="75"/>
      <c r="O31" s="75"/>
      <c r="P31" s="75"/>
    </row>
    <row r="32" spans="1:16" x14ac:dyDescent="0.2">
      <c r="A32" s="101">
        <f>IF(COUNTBLANK(B32)=1," ",COUNTA($B$14:B32))</f>
        <v>18</v>
      </c>
      <c r="B32" s="59" t="s">
        <v>93</v>
      </c>
      <c r="C32" s="61" t="s">
        <v>198</v>
      </c>
      <c r="D32" s="59" t="s">
        <v>97</v>
      </c>
      <c r="E32" s="59">
        <v>12</v>
      </c>
      <c r="F32" s="75"/>
      <c r="G32" s="75"/>
      <c r="H32" s="75"/>
      <c r="I32" s="75"/>
      <c r="J32" s="115"/>
      <c r="K32" s="115"/>
      <c r="L32" s="75"/>
      <c r="M32" s="75"/>
      <c r="N32" s="75"/>
      <c r="O32" s="75"/>
      <c r="P32" s="75"/>
    </row>
    <row r="33" spans="1:16" x14ac:dyDescent="0.2">
      <c r="A33" s="101">
        <f>IF(COUNTBLANK(B33)=1," ",COUNTA($B$14:B33))</f>
        <v>19</v>
      </c>
      <c r="B33" s="59" t="s">
        <v>93</v>
      </c>
      <c r="C33" s="61" t="s">
        <v>199</v>
      </c>
      <c r="D33" s="59" t="s">
        <v>97</v>
      </c>
      <c r="E33" s="59">
        <v>12</v>
      </c>
      <c r="F33" s="75"/>
      <c r="G33" s="75"/>
      <c r="H33" s="75"/>
      <c r="I33" s="75"/>
      <c r="J33" s="115"/>
      <c r="K33" s="115"/>
      <c r="L33" s="75"/>
      <c r="M33" s="75"/>
      <c r="N33" s="75"/>
      <c r="O33" s="75"/>
      <c r="P33" s="75"/>
    </row>
    <row r="34" spans="1:16" x14ac:dyDescent="0.2">
      <c r="A34" s="101">
        <f>IF(COUNTBLANK(B34)=1," ",COUNTA($B$14:B34))</f>
        <v>20</v>
      </c>
      <c r="B34" s="59" t="s">
        <v>93</v>
      </c>
      <c r="C34" s="61" t="s">
        <v>200</v>
      </c>
      <c r="D34" s="59" t="s">
        <v>97</v>
      </c>
      <c r="E34" s="59">
        <v>32</v>
      </c>
      <c r="F34" s="75"/>
      <c r="G34" s="75"/>
      <c r="H34" s="75"/>
      <c r="I34" s="75"/>
      <c r="J34" s="115"/>
      <c r="K34" s="115"/>
      <c r="L34" s="75"/>
      <c r="M34" s="75"/>
      <c r="N34" s="75"/>
      <c r="O34" s="75"/>
      <c r="P34" s="75"/>
    </row>
    <row r="35" spans="1:16" x14ac:dyDescent="0.2">
      <c r="A35" s="101">
        <f>IF(COUNTBLANK(B35)=1," ",COUNTA($B$14:B35))</f>
        <v>21</v>
      </c>
      <c r="B35" s="59" t="s">
        <v>93</v>
      </c>
      <c r="C35" s="61" t="s">
        <v>201</v>
      </c>
      <c r="D35" s="59" t="s">
        <v>97</v>
      </c>
      <c r="E35" s="59">
        <v>4</v>
      </c>
      <c r="F35" s="75"/>
      <c r="G35" s="75"/>
      <c r="H35" s="75"/>
      <c r="I35" s="75"/>
      <c r="J35" s="115"/>
      <c r="K35" s="115"/>
      <c r="L35" s="75"/>
      <c r="M35" s="75"/>
      <c r="N35" s="75"/>
      <c r="O35" s="75"/>
      <c r="P35" s="75"/>
    </row>
    <row r="36" spans="1:16" x14ac:dyDescent="0.2">
      <c r="A36" s="101">
        <f>IF(COUNTBLANK(B36)=1," ",COUNTA($B$14:B36))</f>
        <v>22</v>
      </c>
      <c r="B36" s="59" t="s">
        <v>93</v>
      </c>
      <c r="C36" s="61" t="s">
        <v>202</v>
      </c>
      <c r="D36" s="59" t="s">
        <v>97</v>
      </c>
      <c r="E36" s="59">
        <v>4</v>
      </c>
      <c r="F36" s="75"/>
      <c r="G36" s="75"/>
      <c r="H36" s="75"/>
      <c r="I36" s="75"/>
      <c r="J36" s="115"/>
      <c r="K36" s="115"/>
      <c r="L36" s="75"/>
      <c r="M36" s="75"/>
      <c r="N36" s="75"/>
      <c r="O36" s="75"/>
      <c r="P36" s="75"/>
    </row>
    <row r="37" spans="1:16" x14ac:dyDescent="0.2">
      <c r="A37" s="101">
        <f>IF(COUNTBLANK(B37)=1," ",COUNTA($B$14:B37))</f>
        <v>23</v>
      </c>
      <c r="B37" s="59" t="s">
        <v>93</v>
      </c>
      <c r="C37" s="61" t="s">
        <v>203</v>
      </c>
      <c r="D37" s="59" t="s">
        <v>97</v>
      </c>
      <c r="E37" s="59">
        <v>24</v>
      </c>
      <c r="F37" s="75"/>
      <c r="G37" s="75"/>
      <c r="H37" s="75"/>
      <c r="I37" s="75"/>
      <c r="J37" s="115"/>
      <c r="K37" s="115"/>
      <c r="L37" s="75"/>
      <c r="M37" s="75"/>
      <c r="N37" s="75"/>
      <c r="O37" s="75"/>
      <c r="P37" s="75"/>
    </row>
    <row r="38" spans="1:16" x14ac:dyDescent="0.2">
      <c r="A38" s="101">
        <f>IF(COUNTBLANK(B38)=1," ",COUNTA($B$14:B38))</f>
        <v>24</v>
      </c>
      <c r="B38" s="59" t="s">
        <v>93</v>
      </c>
      <c r="C38" s="61" t="s">
        <v>204</v>
      </c>
      <c r="D38" s="59" t="s">
        <v>97</v>
      </c>
      <c r="E38" s="59">
        <v>56</v>
      </c>
      <c r="F38" s="75"/>
      <c r="G38" s="75"/>
      <c r="H38" s="75"/>
      <c r="I38" s="75"/>
      <c r="J38" s="115"/>
      <c r="K38" s="115"/>
      <c r="L38" s="75"/>
      <c r="M38" s="75"/>
      <c r="N38" s="75"/>
      <c r="O38" s="75"/>
      <c r="P38" s="75"/>
    </row>
    <row r="39" spans="1:16" ht="22.5" x14ac:dyDescent="0.2">
      <c r="A39" s="101">
        <f>IF(COUNTBLANK(B39)=1," ",COUNTA($B$14:B39))</f>
        <v>25</v>
      </c>
      <c r="B39" s="59" t="s">
        <v>93</v>
      </c>
      <c r="C39" s="61" t="s">
        <v>525</v>
      </c>
      <c r="D39" s="59" t="s">
        <v>97</v>
      </c>
      <c r="E39" s="59">
        <v>80</v>
      </c>
      <c r="F39" s="75"/>
      <c r="G39" s="75"/>
      <c r="H39" s="75"/>
      <c r="I39" s="75"/>
      <c r="J39" s="115"/>
      <c r="K39" s="115"/>
      <c r="L39" s="75"/>
      <c r="M39" s="75"/>
      <c r="N39" s="75"/>
      <c r="O39" s="75"/>
      <c r="P39" s="75"/>
    </row>
    <row r="40" spans="1:16" ht="22.5" x14ac:dyDescent="0.2">
      <c r="A40" s="101">
        <f>IF(COUNTBLANK(B40)=1," ",COUNTA($B$14:B40))</f>
        <v>26</v>
      </c>
      <c r="B40" s="59" t="s">
        <v>93</v>
      </c>
      <c r="C40" s="61" t="s">
        <v>525</v>
      </c>
      <c r="D40" s="59" t="s">
        <v>97</v>
      </c>
      <c r="E40" s="59">
        <v>80</v>
      </c>
      <c r="F40" s="75"/>
      <c r="G40" s="75"/>
      <c r="H40" s="75"/>
      <c r="I40" s="75"/>
      <c r="J40" s="115"/>
      <c r="K40" s="115"/>
      <c r="L40" s="75"/>
      <c r="M40" s="75"/>
      <c r="N40" s="75"/>
      <c r="O40" s="75"/>
      <c r="P40" s="75"/>
    </row>
    <row r="41" spans="1:16" ht="22.5" x14ac:dyDescent="0.2">
      <c r="A41" s="101">
        <f>IF(COUNTBLANK(B41)=1," ",COUNTA($B$14:B41))</f>
        <v>27</v>
      </c>
      <c r="B41" s="59" t="s">
        <v>93</v>
      </c>
      <c r="C41" s="62" t="s">
        <v>173</v>
      </c>
      <c r="D41" s="59" t="s">
        <v>95</v>
      </c>
      <c r="E41" s="59">
        <v>16</v>
      </c>
      <c r="F41" s="75"/>
      <c r="G41" s="75"/>
      <c r="H41" s="75"/>
      <c r="I41" s="75"/>
      <c r="J41" s="115"/>
      <c r="K41" s="115"/>
      <c r="L41" s="75"/>
      <c r="M41" s="75"/>
      <c r="N41" s="75"/>
      <c r="O41" s="75"/>
      <c r="P41" s="75"/>
    </row>
    <row r="42" spans="1:16" ht="22.5" x14ac:dyDescent="0.2">
      <c r="A42" s="101">
        <f>IF(COUNTBLANK(B42)=1," ",COUNTA($B$14:B42))</f>
        <v>28</v>
      </c>
      <c r="B42" s="59" t="s">
        <v>93</v>
      </c>
      <c r="C42" s="62" t="s">
        <v>174</v>
      </c>
      <c r="D42" s="59" t="s">
        <v>95</v>
      </c>
      <c r="E42" s="59">
        <v>140</v>
      </c>
      <c r="F42" s="75"/>
      <c r="G42" s="75"/>
      <c r="H42" s="75"/>
      <c r="I42" s="75"/>
      <c r="J42" s="115"/>
      <c r="K42" s="115"/>
      <c r="L42" s="75"/>
      <c r="M42" s="75"/>
      <c r="N42" s="75"/>
      <c r="O42" s="75"/>
      <c r="P42" s="75"/>
    </row>
    <row r="43" spans="1:16" ht="22.5" x14ac:dyDescent="0.2">
      <c r="A43" s="101">
        <f>IF(COUNTBLANK(B43)=1," ",COUNTA($B$14:B43))</f>
        <v>29</v>
      </c>
      <c r="B43" s="59" t="s">
        <v>93</v>
      </c>
      <c r="C43" s="62" t="s">
        <v>205</v>
      </c>
      <c r="D43" s="59" t="s">
        <v>95</v>
      </c>
      <c r="E43" s="59">
        <v>160</v>
      </c>
      <c r="F43" s="75"/>
      <c r="G43" s="75"/>
      <c r="H43" s="75"/>
      <c r="I43" s="75"/>
      <c r="J43" s="115"/>
      <c r="K43" s="115"/>
      <c r="L43" s="75"/>
      <c r="M43" s="75"/>
      <c r="N43" s="75"/>
      <c r="O43" s="75"/>
      <c r="P43" s="75"/>
    </row>
    <row r="44" spans="1:16" ht="22.5" x14ac:dyDescent="0.2">
      <c r="A44" s="101">
        <f>IF(COUNTBLANK(B44)=1," ",COUNTA($B$14:B44))</f>
        <v>30</v>
      </c>
      <c r="B44" s="59" t="s">
        <v>93</v>
      </c>
      <c r="C44" s="62" t="s">
        <v>206</v>
      </c>
      <c r="D44" s="59" t="s">
        <v>95</v>
      </c>
      <c r="E44" s="59">
        <v>154</v>
      </c>
      <c r="F44" s="75"/>
      <c r="G44" s="75"/>
      <c r="H44" s="75"/>
      <c r="I44" s="75"/>
      <c r="J44" s="115"/>
      <c r="K44" s="115"/>
      <c r="L44" s="75"/>
      <c r="M44" s="75"/>
      <c r="N44" s="75"/>
      <c r="O44" s="75"/>
      <c r="P44" s="75"/>
    </row>
    <row r="45" spans="1:16" ht="22.5" x14ac:dyDescent="0.2">
      <c r="A45" s="101">
        <f>IF(COUNTBLANK(B45)=1," ",COUNTA($B$14:B45))</f>
        <v>31</v>
      </c>
      <c r="B45" s="59" t="s">
        <v>93</v>
      </c>
      <c r="C45" s="62" t="s">
        <v>207</v>
      </c>
      <c r="D45" s="59" t="s">
        <v>95</v>
      </c>
      <c r="E45" s="59">
        <v>88</v>
      </c>
      <c r="F45" s="75"/>
      <c r="G45" s="75"/>
      <c r="H45" s="75"/>
      <c r="I45" s="75"/>
      <c r="J45" s="115"/>
      <c r="K45" s="115"/>
      <c r="L45" s="75"/>
      <c r="M45" s="75"/>
      <c r="N45" s="75"/>
      <c r="O45" s="75"/>
      <c r="P45" s="75"/>
    </row>
    <row r="46" spans="1:16" ht="33.75" x14ac:dyDescent="0.2">
      <c r="A46" s="101">
        <f>IF(COUNTBLANK(B46)=1," ",COUNTA($B$14:B46))</f>
        <v>32</v>
      </c>
      <c r="B46" s="59" t="s">
        <v>93</v>
      </c>
      <c r="C46" s="61" t="s">
        <v>208</v>
      </c>
      <c r="D46" s="59" t="s">
        <v>97</v>
      </c>
      <c r="E46" s="59">
        <v>2</v>
      </c>
      <c r="F46" s="75"/>
      <c r="G46" s="75"/>
      <c r="H46" s="75"/>
      <c r="I46" s="75"/>
      <c r="J46" s="115"/>
      <c r="K46" s="115"/>
      <c r="L46" s="75"/>
      <c r="M46" s="75"/>
      <c r="N46" s="75"/>
      <c r="O46" s="75"/>
      <c r="P46" s="75"/>
    </row>
    <row r="47" spans="1:16" ht="33.75" x14ac:dyDescent="0.2">
      <c r="A47" s="101">
        <f>IF(COUNTBLANK(B47)=1," ",COUNTA($B$14:B47))</f>
        <v>33</v>
      </c>
      <c r="B47" s="59" t="s">
        <v>93</v>
      </c>
      <c r="C47" s="61" t="s">
        <v>209</v>
      </c>
      <c r="D47" s="59" t="s">
        <v>97</v>
      </c>
      <c r="E47" s="59">
        <v>46</v>
      </c>
      <c r="F47" s="75"/>
      <c r="G47" s="75"/>
      <c r="H47" s="75"/>
      <c r="I47" s="75"/>
      <c r="J47" s="115"/>
      <c r="K47" s="115"/>
      <c r="L47" s="75"/>
      <c r="M47" s="75"/>
      <c r="N47" s="75"/>
      <c r="O47" s="75"/>
      <c r="P47" s="75"/>
    </row>
    <row r="48" spans="1:16" ht="33.75" x14ac:dyDescent="0.2">
      <c r="A48" s="101">
        <f>IF(COUNTBLANK(B48)=1," ",COUNTA($B$14:B48))</f>
        <v>34</v>
      </c>
      <c r="B48" s="59" t="s">
        <v>93</v>
      </c>
      <c r="C48" s="61" t="s">
        <v>210</v>
      </c>
      <c r="D48" s="59" t="s">
        <v>97</v>
      </c>
      <c r="E48" s="59">
        <v>53</v>
      </c>
      <c r="F48" s="75"/>
      <c r="G48" s="75"/>
      <c r="H48" s="75"/>
      <c r="I48" s="75"/>
      <c r="J48" s="115"/>
      <c r="K48" s="115"/>
      <c r="L48" s="75"/>
      <c r="M48" s="75"/>
      <c r="N48" s="75"/>
      <c r="O48" s="75"/>
      <c r="P48" s="75"/>
    </row>
    <row r="49" spans="1:16" ht="33.75" x14ac:dyDescent="0.2">
      <c r="A49" s="101">
        <f>IF(COUNTBLANK(B49)=1," ",COUNTA($B$14:B49))</f>
        <v>35</v>
      </c>
      <c r="B49" s="59" t="s">
        <v>93</v>
      </c>
      <c r="C49" s="61" t="s">
        <v>211</v>
      </c>
      <c r="D49" s="59" t="s">
        <v>97</v>
      </c>
      <c r="E49" s="59">
        <v>76</v>
      </c>
      <c r="F49" s="75"/>
      <c r="G49" s="75"/>
      <c r="H49" s="75"/>
      <c r="I49" s="75"/>
      <c r="J49" s="115"/>
      <c r="K49" s="115"/>
      <c r="L49" s="75"/>
      <c r="M49" s="75"/>
      <c r="N49" s="75"/>
      <c r="O49" s="75"/>
      <c r="P49" s="75"/>
    </row>
    <row r="50" spans="1:16" ht="33.75" x14ac:dyDescent="0.2">
      <c r="A50" s="101">
        <f>IF(COUNTBLANK(B50)=1," ",COUNTA($B$14:B50))</f>
        <v>36</v>
      </c>
      <c r="B50" s="59" t="s">
        <v>93</v>
      </c>
      <c r="C50" s="61" t="s">
        <v>212</v>
      </c>
      <c r="D50" s="59" t="s">
        <v>97</v>
      </c>
      <c r="E50" s="59">
        <v>5</v>
      </c>
      <c r="F50" s="75"/>
      <c r="G50" s="75"/>
      <c r="H50" s="75"/>
      <c r="I50" s="75"/>
      <c r="J50" s="115"/>
      <c r="K50" s="115"/>
      <c r="L50" s="75"/>
      <c r="M50" s="75"/>
      <c r="N50" s="75"/>
      <c r="O50" s="75"/>
      <c r="P50" s="75"/>
    </row>
    <row r="51" spans="1:16" ht="33.75" x14ac:dyDescent="0.2">
      <c r="A51" s="101">
        <f>IF(COUNTBLANK(B51)=1," ",COUNTA($B$14:B51))</f>
        <v>37</v>
      </c>
      <c r="B51" s="59" t="s">
        <v>93</v>
      </c>
      <c r="C51" s="61" t="s">
        <v>532</v>
      </c>
      <c r="D51" s="59" t="s">
        <v>146</v>
      </c>
      <c r="E51" s="59">
        <v>1</v>
      </c>
      <c r="F51" s="75"/>
      <c r="G51" s="75"/>
      <c r="H51" s="75"/>
      <c r="I51" s="75"/>
      <c r="J51" s="115"/>
      <c r="K51" s="115"/>
      <c r="L51" s="75"/>
      <c r="M51" s="75"/>
      <c r="N51" s="75"/>
      <c r="O51" s="75"/>
      <c r="P51" s="75"/>
    </row>
    <row r="52" spans="1:16" x14ac:dyDescent="0.2">
      <c r="A52" s="101" t="str">
        <f>IF(COUNTBLANK(B52)=1," ",COUNTA($B$14:B52))</f>
        <v xml:space="preserve"> </v>
      </c>
      <c r="B52" s="59"/>
      <c r="C52" s="290" t="s">
        <v>213</v>
      </c>
      <c r="D52" s="59"/>
      <c r="E52" s="59"/>
      <c r="F52" s="75"/>
      <c r="G52" s="75"/>
      <c r="H52" s="75"/>
      <c r="I52" s="75"/>
      <c r="J52" s="115"/>
      <c r="K52" s="115"/>
      <c r="L52" s="75"/>
      <c r="M52" s="75"/>
      <c r="N52" s="75"/>
      <c r="O52" s="75"/>
      <c r="P52" s="75"/>
    </row>
    <row r="53" spans="1:16" ht="22.5" x14ac:dyDescent="0.2">
      <c r="A53" s="101">
        <f>IF(COUNTBLANK(B53)=1," ",COUNTA($B$14:B53))</f>
        <v>38</v>
      </c>
      <c r="B53" s="59" t="s">
        <v>93</v>
      </c>
      <c r="C53" s="61" t="s">
        <v>214</v>
      </c>
      <c r="D53" s="59" t="s">
        <v>95</v>
      </c>
      <c r="E53" s="59">
        <v>118</v>
      </c>
      <c r="F53" s="75"/>
      <c r="G53" s="75"/>
      <c r="H53" s="75"/>
      <c r="I53" s="75"/>
      <c r="J53" s="115"/>
      <c r="K53" s="115"/>
      <c r="L53" s="75"/>
      <c r="M53" s="75"/>
      <c r="N53" s="75"/>
      <c r="O53" s="75"/>
      <c r="P53" s="75"/>
    </row>
    <row r="54" spans="1:16" ht="22.5" x14ac:dyDescent="0.2">
      <c r="A54" s="101">
        <f>IF(COUNTBLANK(B54)=1," ",COUNTA($B$14:B54))</f>
        <v>39</v>
      </c>
      <c r="B54" s="59" t="s">
        <v>93</v>
      </c>
      <c r="C54" s="61" t="s">
        <v>215</v>
      </c>
      <c r="D54" s="59" t="s">
        <v>95</v>
      </c>
      <c r="E54" s="59">
        <v>1375</v>
      </c>
      <c r="F54" s="75"/>
      <c r="G54" s="75"/>
      <c r="H54" s="75"/>
      <c r="I54" s="75"/>
      <c r="J54" s="115"/>
      <c r="K54" s="115"/>
      <c r="L54" s="75"/>
      <c r="M54" s="75"/>
      <c r="N54" s="75"/>
      <c r="O54" s="75"/>
      <c r="P54" s="75"/>
    </row>
    <row r="55" spans="1:16" ht="22.5" x14ac:dyDescent="0.2">
      <c r="A55" s="101">
        <f>IF(COUNTBLANK(B55)=1," ",COUNTA($B$14:B55))</f>
        <v>40</v>
      </c>
      <c r="B55" s="59" t="s">
        <v>93</v>
      </c>
      <c r="C55" s="61" t="s">
        <v>175</v>
      </c>
      <c r="D55" s="59" t="s">
        <v>146</v>
      </c>
      <c r="E55" s="59">
        <v>1</v>
      </c>
      <c r="F55" s="75"/>
      <c r="G55" s="75"/>
      <c r="H55" s="75"/>
      <c r="I55" s="75"/>
      <c r="J55" s="115"/>
      <c r="K55" s="115"/>
      <c r="L55" s="75"/>
      <c r="M55" s="75"/>
      <c r="N55" s="75"/>
      <c r="O55" s="75"/>
      <c r="P55" s="75"/>
    </row>
    <row r="56" spans="1:16" x14ac:dyDescent="0.2">
      <c r="A56" s="101">
        <f>IF(COUNTBLANK(B56)=1," ",COUNTA($B$14:B56))</f>
        <v>41</v>
      </c>
      <c r="B56" s="59" t="s">
        <v>93</v>
      </c>
      <c r="C56" s="61" t="s">
        <v>216</v>
      </c>
      <c r="D56" s="59" t="s">
        <v>146</v>
      </c>
      <c r="E56" s="59">
        <v>1</v>
      </c>
      <c r="F56" s="75"/>
      <c r="G56" s="75"/>
      <c r="H56" s="75"/>
      <c r="I56" s="75"/>
      <c r="J56" s="115"/>
      <c r="K56" s="115"/>
      <c r="L56" s="75"/>
      <c r="M56" s="75"/>
      <c r="N56" s="75"/>
      <c r="O56" s="75"/>
      <c r="P56" s="75"/>
    </row>
    <row r="57" spans="1:16" ht="56.25" x14ac:dyDescent="0.2">
      <c r="A57" s="101">
        <f>IF(COUNTBLANK(B57)=1," ",COUNTA($B$14:B57))</f>
        <v>42</v>
      </c>
      <c r="B57" s="59" t="s">
        <v>93</v>
      </c>
      <c r="C57" s="61" t="s">
        <v>526</v>
      </c>
      <c r="D57" s="59" t="s">
        <v>146</v>
      </c>
      <c r="E57" s="59">
        <v>262</v>
      </c>
      <c r="F57" s="75"/>
      <c r="G57" s="75"/>
      <c r="H57" s="75"/>
      <c r="I57" s="75"/>
      <c r="J57" s="115"/>
      <c r="K57" s="115"/>
      <c r="L57" s="75"/>
      <c r="M57" s="75"/>
      <c r="N57" s="75"/>
      <c r="O57" s="75"/>
      <c r="P57" s="75"/>
    </row>
    <row r="58" spans="1:16" ht="22.5" x14ac:dyDescent="0.2">
      <c r="A58" s="101">
        <f>IF(COUNTBLANK(B58)=1," ",COUNTA($B$14:B58))</f>
        <v>43</v>
      </c>
      <c r="B58" s="59" t="s">
        <v>93</v>
      </c>
      <c r="C58" s="61" t="s">
        <v>537</v>
      </c>
      <c r="D58" s="59" t="s">
        <v>146</v>
      </c>
      <c r="E58" s="59">
        <v>5</v>
      </c>
      <c r="F58" s="75"/>
      <c r="G58" s="75"/>
      <c r="H58" s="75"/>
      <c r="I58" s="75"/>
      <c r="J58" s="115"/>
      <c r="K58" s="115"/>
      <c r="L58" s="75"/>
      <c r="M58" s="75"/>
      <c r="N58" s="75"/>
      <c r="O58" s="75"/>
      <c r="P58" s="75"/>
    </row>
    <row r="59" spans="1:16" ht="22.5" x14ac:dyDescent="0.2">
      <c r="A59" s="101">
        <f>IF(COUNTBLANK(B59)=1," ",COUNTA($B$14:B59))</f>
        <v>44</v>
      </c>
      <c r="B59" s="59" t="s">
        <v>93</v>
      </c>
      <c r="C59" s="61" t="s">
        <v>527</v>
      </c>
      <c r="D59" s="59" t="s">
        <v>97</v>
      </c>
      <c r="E59" s="59">
        <v>262</v>
      </c>
      <c r="F59" s="75"/>
      <c r="G59" s="75"/>
      <c r="H59" s="75"/>
      <c r="I59" s="75"/>
      <c r="J59" s="115"/>
      <c r="K59" s="115"/>
      <c r="L59" s="75"/>
      <c r="M59" s="75"/>
      <c r="N59" s="75"/>
      <c r="O59" s="75"/>
      <c r="P59" s="75"/>
    </row>
    <row r="60" spans="1:16" ht="22.5" x14ac:dyDescent="0.2">
      <c r="A60" s="101">
        <f>IF(COUNTBLANK(B60)=1," ",COUNTA($B$14:B60))</f>
        <v>45</v>
      </c>
      <c r="B60" s="59" t="s">
        <v>93</v>
      </c>
      <c r="C60" s="61" t="s">
        <v>528</v>
      </c>
      <c r="D60" s="59" t="s">
        <v>97</v>
      </c>
      <c r="E60" s="59">
        <v>262</v>
      </c>
      <c r="F60" s="75"/>
      <c r="G60" s="75"/>
      <c r="H60" s="75"/>
      <c r="I60" s="75"/>
      <c r="J60" s="115"/>
      <c r="K60" s="115"/>
      <c r="L60" s="75"/>
      <c r="M60" s="75"/>
      <c r="N60" s="75"/>
      <c r="O60" s="75"/>
      <c r="P60" s="75"/>
    </row>
    <row r="61" spans="1:16" x14ac:dyDescent="0.2">
      <c r="A61" s="101">
        <f>IF(COUNTBLANK(B61)=1," ",COUNTA($B$14:B61))</f>
        <v>46</v>
      </c>
      <c r="B61" s="59" t="s">
        <v>93</v>
      </c>
      <c r="C61" s="61" t="s">
        <v>529</v>
      </c>
      <c r="D61" s="59" t="s">
        <v>97</v>
      </c>
      <c r="E61" s="59">
        <v>262</v>
      </c>
      <c r="F61" s="75"/>
      <c r="G61" s="75"/>
      <c r="H61" s="75"/>
      <c r="I61" s="75"/>
      <c r="J61" s="115"/>
      <c r="K61" s="115"/>
      <c r="L61" s="75"/>
      <c r="M61" s="75"/>
      <c r="N61" s="75"/>
      <c r="O61" s="75"/>
      <c r="P61" s="75"/>
    </row>
    <row r="62" spans="1:16" x14ac:dyDescent="0.2">
      <c r="A62" s="101">
        <f>IF(COUNTBLANK(B62)=1," ",COUNTA($B$14:B62))</f>
        <v>47</v>
      </c>
      <c r="B62" s="59" t="s">
        <v>93</v>
      </c>
      <c r="C62" s="61" t="s">
        <v>217</v>
      </c>
      <c r="D62" s="59" t="s">
        <v>95</v>
      </c>
      <c r="E62" s="59">
        <v>24</v>
      </c>
      <c r="F62" s="75"/>
      <c r="G62" s="75"/>
      <c r="H62" s="75"/>
      <c r="I62" s="75"/>
      <c r="J62" s="115"/>
      <c r="K62" s="115"/>
      <c r="L62" s="75"/>
      <c r="M62" s="75"/>
      <c r="N62" s="75"/>
      <c r="O62" s="75"/>
      <c r="P62" s="75"/>
    </row>
    <row r="63" spans="1:16" ht="22.5" x14ac:dyDescent="0.2">
      <c r="A63" s="101">
        <f>IF(COUNTBLANK(B63)=1," ",COUNTA($B$14:B63))</f>
        <v>48</v>
      </c>
      <c r="B63" s="59" t="s">
        <v>93</v>
      </c>
      <c r="C63" s="61" t="s">
        <v>538</v>
      </c>
      <c r="D63" s="59" t="s">
        <v>146</v>
      </c>
      <c r="E63" s="59">
        <v>1</v>
      </c>
      <c r="F63" s="75"/>
      <c r="G63" s="75"/>
      <c r="H63" s="75"/>
      <c r="I63" s="75"/>
      <c r="J63" s="115"/>
      <c r="K63" s="115"/>
      <c r="L63" s="75"/>
      <c r="M63" s="75"/>
      <c r="N63" s="75"/>
      <c r="O63" s="75"/>
      <c r="P63" s="75"/>
    </row>
    <row r="64" spans="1:16" x14ac:dyDescent="0.2">
      <c r="A64" s="101" t="str">
        <f>IF(COUNTBLANK(B64)=1," ",COUNTA($B$14:B64))</f>
        <v xml:space="preserve"> </v>
      </c>
      <c r="B64" s="59"/>
      <c r="C64" s="290" t="s">
        <v>176</v>
      </c>
      <c r="D64" s="59"/>
      <c r="E64" s="59"/>
      <c r="F64" s="75"/>
      <c r="G64" s="75"/>
      <c r="H64" s="75"/>
      <c r="I64" s="75"/>
      <c r="J64" s="115"/>
      <c r="K64" s="115"/>
      <c r="L64" s="75"/>
      <c r="M64" s="75"/>
      <c r="N64" s="75"/>
      <c r="O64" s="75"/>
      <c r="P64" s="75"/>
    </row>
    <row r="65" spans="1:16" ht="22.5" x14ac:dyDescent="0.2">
      <c r="A65" s="101">
        <f>IF(COUNTBLANK(B65)=1," ",COUNTA($B$14:B65))</f>
        <v>49</v>
      </c>
      <c r="B65" s="59" t="s">
        <v>93</v>
      </c>
      <c r="C65" s="61" t="s">
        <v>531</v>
      </c>
      <c r="D65" s="59" t="s">
        <v>146</v>
      </c>
      <c r="E65" s="59">
        <v>72</v>
      </c>
      <c r="F65" s="75"/>
      <c r="G65" s="75"/>
      <c r="H65" s="75"/>
      <c r="I65" s="75"/>
      <c r="J65" s="115"/>
      <c r="K65" s="115"/>
      <c r="L65" s="75"/>
      <c r="M65" s="75"/>
      <c r="N65" s="75"/>
      <c r="O65" s="75"/>
      <c r="P65" s="75"/>
    </row>
    <row r="66" spans="1:16" x14ac:dyDescent="0.2">
      <c r="A66" s="101">
        <f>IF(COUNTBLANK(B66)=1," ",COUNTA($B$14:B66))</f>
        <v>50</v>
      </c>
      <c r="B66" s="59" t="s">
        <v>93</v>
      </c>
      <c r="C66" s="61" t="s">
        <v>530</v>
      </c>
      <c r="D66" s="59" t="s">
        <v>146</v>
      </c>
      <c r="E66" s="59">
        <v>72</v>
      </c>
      <c r="F66" s="75"/>
      <c r="G66" s="75"/>
      <c r="H66" s="75"/>
      <c r="I66" s="75"/>
      <c r="J66" s="115"/>
      <c r="K66" s="115"/>
      <c r="L66" s="75"/>
      <c r="M66" s="75"/>
      <c r="N66" s="75"/>
      <c r="O66" s="75"/>
      <c r="P66" s="75"/>
    </row>
    <row r="67" spans="1:16" ht="12" thickBot="1" x14ac:dyDescent="0.25">
      <c r="A67" s="387" t="s">
        <v>545</v>
      </c>
      <c r="B67" s="388"/>
      <c r="C67" s="388"/>
      <c r="D67" s="388"/>
      <c r="E67" s="388"/>
      <c r="F67" s="388"/>
      <c r="G67" s="388"/>
      <c r="H67" s="388"/>
      <c r="I67" s="388"/>
      <c r="J67" s="388"/>
      <c r="K67" s="389"/>
      <c r="L67" s="226">
        <f>SUM(L14:L66)</f>
        <v>0</v>
      </c>
      <c r="M67" s="238">
        <f>SUM(M14:M66)</f>
        <v>0</v>
      </c>
      <c r="N67" s="238">
        <f>SUM(N14:N66)</f>
        <v>0</v>
      </c>
      <c r="O67" s="238">
        <f>SUM(O14:O66)</f>
        <v>0</v>
      </c>
      <c r="P67" s="239">
        <f>SUM(P14:P66)</f>
        <v>0</v>
      </c>
    </row>
    <row r="68" spans="1:16" x14ac:dyDescent="0.2">
      <c r="A68" s="173"/>
      <c r="B68" s="173"/>
      <c r="C68" s="173"/>
      <c r="D68" s="173"/>
      <c r="E68" s="173"/>
      <c r="F68" s="173"/>
      <c r="G68" s="173"/>
      <c r="H68" s="173"/>
      <c r="I68" s="173"/>
      <c r="J68" s="173"/>
      <c r="K68" s="173"/>
      <c r="L68" s="173"/>
      <c r="M68" s="173"/>
      <c r="N68" s="173"/>
      <c r="O68" s="173"/>
      <c r="P68" s="173"/>
    </row>
    <row r="69" spans="1:16" x14ac:dyDescent="0.2">
      <c r="A69" s="173"/>
      <c r="B69" s="173"/>
      <c r="C69" s="173"/>
      <c r="D69" s="173"/>
      <c r="E69" s="173"/>
      <c r="F69" s="173"/>
      <c r="G69" s="173"/>
      <c r="H69" s="173"/>
      <c r="I69" s="173"/>
      <c r="J69" s="173"/>
      <c r="K69" s="173"/>
      <c r="L69" s="173"/>
      <c r="M69" s="173"/>
      <c r="N69" s="173"/>
      <c r="O69" s="173"/>
      <c r="P69" s="173"/>
    </row>
    <row r="70" spans="1:16" x14ac:dyDescent="0.2">
      <c r="A70" s="174" t="s">
        <v>14</v>
      </c>
      <c r="B70" s="173"/>
      <c r="C70" s="358">
        <f>'Kops a'!C34:H34</f>
        <v>0</v>
      </c>
      <c r="D70" s="358"/>
      <c r="E70" s="358"/>
      <c r="F70" s="358"/>
      <c r="G70" s="358"/>
      <c r="H70" s="358"/>
      <c r="I70" s="173"/>
      <c r="J70" s="173"/>
      <c r="K70" s="173"/>
      <c r="L70" s="173"/>
      <c r="M70" s="173"/>
      <c r="N70" s="173"/>
      <c r="O70" s="173"/>
      <c r="P70" s="173"/>
    </row>
    <row r="71" spans="1:16" x14ac:dyDescent="0.2">
      <c r="A71" s="173"/>
      <c r="B71" s="173"/>
      <c r="C71" s="359" t="s">
        <v>15</v>
      </c>
      <c r="D71" s="359"/>
      <c r="E71" s="359"/>
      <c r="F71" s="359"/>
      <c r="G71" s="359"/>
      <c r="H71" s="359"/>
      <c r="I71" s="173"/>
      <c r="J71" s="173"/>
      <c r="K71" s="173"/>
      <c r="L71" s="173"/>
      <c r="M71" s="173"/>
      <c r="N71" s="173"/>
      <c r="O71" s="173"/>
      <c r="P71" s="173"/>
    </row>
    <row r="72" spans="1:16" x14ac:dyDescent="0.2">
      <c r="A72" s="173"/>
      <c r="B72" s="173"/>
      <c r="C72" s="173"/>
      <c r="D72" s="173"/>
      <c r="E72" s="173"/>
      <c r="F72" s="173"/>
      <c r="G72" s="173"/>
      <c r="H72" s="173"/>
      <c r="I72" s="173"/>
      <c r="J72" s="173"/>
      <c r="K72" s="173"/>
      <c r="L72" s="173"/>
      <c r="M72" s="173"/>
      <c r="N72" s="173"/>
      <c r="O72" s="173"/>
      <c r="P72" s="173"/>
    </row>
    <row r="73" spans="1:16" x14ac:dyDescent="0.2">
      <c r="A73" s="227" t="str">
        <f>'Kops a'!A37</f>
        <v>Tāme sastādīta 2021. gada</v>
      </c>
      <c r="B73" s="228"/>
      <c r="C73" s="228"/>
      <c r="D73" s="228"/>
      <c r="E73" s="173"/>
      <c r="F73" s="173"/>
      <c r="G73" s="173"/>
      <c r="H73" s="173"/>
      <c r="I73" s="173"/>
      <c r="J73" s="173"/>
      <c r="K73" s="173"/>
      <c r="L73" s="173"/>
      <c r="M73" s="173"/>
      <c r="N73" s="173"/>
      <c r="O73" s="173"/>
      <c r="P73" s="173"/>
    </row>
    <row r="74" spans="1:16" x14ac:dyDescent="0.2">
      <c r="A74" s="173"/>
      <c r="B74" s="173"/>
      <c r="C74" s="173"/>
      <c r="D74" s="173"/>
      <c r="E74" s="173"/>
      <c r="F74" s="173"/>
      <c r="G74" s="173"/>
      <c r="H74" s="173"/>
      <c r="I74" s="173"/>
      <c r="J74" s="173"/>
      <c r="K74" s="173"/>
      <c r="L74" s="173"/>
      <c r="M74" s="173"/>
      <c r="N74" s="173"/>
      <c r="O74" s="173"/>
      <c r="P74" s="173"/>
    </row>
    <row r="75" spans="1:16" x14ac:dyDescent="0.2">
      <c r="A75" s="174" t="s">
        <v>37</v>
      </c>
      <c r="B75" s="173"/>
      <c r="C75" s="358">
        <f>'Kops a'!C39:H39</f>
        <v>0</v>
      </c>
      <c r="D75" s="358"/>
      <c r="E75" s="358"/>
      <c r="F75" s="358"/>
      <c r="G75" s="358"/>
      <c r="H75" s="358"/>
      <c r="I75" s="173"/>
      <c r="J75" s="173"/>
      <c r="K75" s="173"/>
      <c r="L75" s="173"/>
      <c r="M75" s="173"/>
      <c r="N75" s="173"/>
      <c r="O75" s="173"/>
      <c r="P75" s="173"/>
    </row>
    <row r="76" spans="1:16" x14ac:dyDescent="0.2">
      <c r="A76" s="173"/>
      <c r="B76" s="173"/>
      <c r="C76" s="359" t="s">
        <v>15</v>
      </c>
      <c r="D76" s="359"/>
      <c r="E76" s="359"/>
      <c r="F76" s="359"/>
      <c r="G76" s="359"/>
      <c r="H76" s="359"/>
      <c r="I76" s="173"/>
      <c r="J76" s="173"/>
      <c r="K76" s="173"/>
      <c r="L76" s="173"/>
      <c r="M76" s="173"/>
      <c r="N76" s="173"/>
      <c r="O76" s="173"/>
      <c r="P76" s="173"/>
    </row>
    <row r="77" spans="1:16" x14ac:dyDescent="0.2">
      <c r="A77" s="173"/>
      <c r="B77" s="173"/>
      <c r="C77" s="173"/>
      <c r="D77" s="173"/>
      <c r="E77" s="173"/>
      <c r="F77" s="173"/>
      <c r="G77" s="173"/>
      <c r="H77" s="173"/>
      <c r="I77" s="173"/>
      <c r="J77" s="173"/>
      <c r="K77" s="173"/>
      <c r="L77" s="173"/>
      <c r="M77" s="173"/>
      <c r="N77" s="173"/>
      <c r="O77" s="173"/>
      <c r="P77" s="173"/>
    </row>
    <row r="78" spans="1:16" x14ac:dyDescent="0.2">
      <c r="A78" s="227" t="s">
        <v>54</v>
      </c>
      <c r="B78" s="228"/>
      <c r="C78" s="229">
        <f>'Kops a'!C42</f>
        <v>0</v>
      </c>
      <c r="D78" s="230"/>
      <c r="E78" s="173"/>
      <c r="F78" s="173"/>
      <c r="G78" s="173"/>
      <c r="H78" s="173"/>
      <c r="I78" s="173"/>
      <c r="J78" s="173"/>
      <c r="K78" s="173"/>
      <c r="L78" s="173"/>
      <c r="M78" s="173"/>
      <c r="N78" s="173"/>
      <c r="O78" s="173"/>
      <c r="P78" s="173"/>
    </row>
    <row r="79" spans="1:16" x14ac:dyDescent="0.2">
      <c r="A79" s="173"/>
      <c r="B79" s="173"/>
      <c r="C79" s="173"/>
      <c r="D79" s="173"/>
      <c r="E79" s="173"/>
      <c r="F79" s="173"/>
      <c r="G79" s="173"/>
      <c r="H79" s="173"/>
      <c r="I79" s="173"/>
      <c r="J79" s="173"/>
      <c r="K79" s="173"/>
      <c r="L79" s="173"/>
      <c r="M79" s="173"/>
      <c r="N79" s="173"/>
      <c r="O79" s="173"/>
      <c r="P79" s="173"/>
    </row>
    <row r="80" spans="1:16" x14ac:dyDescent="0.2">
      <c r="A80" s="231" t="s">
        <v>63</v>
      </c>
      <c r="B80" s="173"/>
      <c r="E80" s="167"/>
      <c r="F80" s="232"/>
      <c r="G80" s="167"/>
      <c r="H80" s="233"/>
      <c r="I80" s="233"/>
      <c r="J80" s="234"/>
      <c r="K80" s="235"/>
      <c r="L80" s="235"/>
      <c r="M80" s="235"/>
      <c r="N80" s="235"/>
      <c r="O80" s="235"/>
    </row>
    <row r="81" spans="1:15" x14ac:dyDescent="0.2">
      <c r="A81" s="357" t="s">
        <v>64</v>
      </c>
      <c r="B81" s="357"/>
      <c r="C81" s="357"/>
      <c r="D81" s="357"/>
      <c r="E81" s="357"/>
      <c r="F81" s="357"/>
      <c r="G81" s="357"/>
      <c r="H81" s="357"/>
      <c r="I81" s="357"/>
      <c r="J81" s="357"/>
      <c r="K81" s="357"/>
      <c r="L81" s="357"/>
      <c r="M81" s="357"/>
      <c r="N81" s="357"/>
      <c r="O81" s="357"/>
    </row>
    <row r="82" spans="1:15" x14ac:dyDescent="0.2">
      <c r="A82" s="357" t="s">
        <v>65</v>
      </c>
      <c r="B82" s="357"/>
      <c r="C82" s="357"/>
      <c r="D82" s="357"/>
      <c r="E82" s="357"/>
      <c r="F82" s="357"/>
      <c r="G82" s="357"/>
      <c r="H82" s="357"/>
      <c r="I82" s="357"/>
      <c r="J82" s="357"/>
      <c r="K82" s="357"/>
      <c r="L82" s="357"/>
      <c r="M82" s="357"/>
      <c r="N82" s="357"/>
      <c r="O82" s="357"/>
    </row>
  </sheetData>
  <mergeCells count="24">
    <mergeCell ref="A81:O81"/>
    <mergeCell ref="A82:O82"/>
    <mergeCell ref="L12:P12"/>
    <mergeCell ref="A67:K67"/>
    <mergeCell ref="C70:H70"/>
    <mergeCell ref="C71:H71"/>
    <mergeCell ref="C75:H75"/>
    <mergeCell ref="C76:H76"/>
    <mergeCell ref="D8:L8"/>
    <mergeCell ref="A9:F9"/>
    <mergeCell ref="J9:M9"/>
    <mergeCell ref="N9:O9"/>
    <mergeCell ref="A12:A13"/>
    <mergeCell ref="B12:B13"/>
    <mergeCell ref="C12:C13"/>
    <mergeCell ref="D12:D13"/>
    <mergeCell ref="E12:E13"/>
    <mergeCell ref="F12:K12"/>
    <mergeCell ref="D7:L7"/>
    <mergeCell ref="C2:I2"/>
    <mergeCell ref="C3:I3"/>
    <mergeCell ref="C4:I4"/>
    <mergeCell ref="D5:L5"/>
    <mergeCell ref="D6:L6"/>
  </mergeCells>
  <conditionalFormatting sqref="N9:O9 K14:P66 H14:H66">
    <cfRule type="cellIs" dxfId="15" priority="29" operator="equal">
      <formula>0</formula>
    </cfRule>
  </conditionalFormatting>
  <conditionalFormatting sqref="A9:F9">
    <cfRule type="containsText" dxfId="14" priority="28"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3" priority="27" operator="equal">
      <formula>0</formula>
    </cfRule>
  </conditionalFormatting>
  <conditionalFormatting sqref="O10">
    <cfRule type="cellIs" dxfId="12" priority="26" operator="equal">
      <formula>"20__. gada __. _________"</formula>
    </cfRule>
  </conditionalFormatting>
  <conditionalFormatting sqref="A67:K67">
    <cfRule type="containsText" dxfId="11" priority="25" operator="containsText" text="Tiešās izmaksas kopā, t. sk. darba devēja sociālais nodoklis __.__% ">
      <formula>NOT(ISERROR(SEARCH("Tiešās izmaksas kopā, t. sk. darba devēja sociālais nodoklis __.__% ",A67)))</formula>
    </cfRule>
  </conditionalFormatting>
  <conditionalFormatting sqref="L67:P67">
    <cfRule type="cellIs" dxfId="10" priority="24" operator="equal">
      <formula>0</formula>
    </cfRule>
  </conditionalFormatting>
  <conditionalFormatting sqref="C4:I4">
    <cfRule type="cellIs" dxfId="9" priority="23" operator="equal">
      <formula>0</formula>
    </cfRule>
  </conditionalFormatting>
  <conditionalFormatting sqref="D5:L8">
    <cfRule type="cellIs" dxfId="8" priority="21" operator="equal">
      <formula>0</formula>
    </cfRule>
  </conditionalFormatting>
  <conditionalFormatting sqref="I14:J66 A14:G66">
    <cfRule type="cellIs" dxfId="7" priority="20" operator="equal">
      <formula>0</formula>
    </cfRule>
  </conditionalFormatting>
  <conditionalFormatting sqref="P10">
    <cfRule type="cellIs" dxfId="6" priority="17" operator="equal">
      <formula>"20__. gada __. _________"</formula>
    </cfRule>
  </conditionalFormatting>
  <conditionalFormatting sqref="C75:H75">
    <cfRule type="cellIs" dxfId="5" priority="14" operator="equal">
      <formula>0</formula>
    </cfRule>
  </conditionalFormatting>
  <conditionalFormatting sqref="C70:H70">
    <cfRule type="cellIs" dxfId="4" priority="13" operator="equal">
      <formula>0</formula>
    </cfRule>
  </conditionalFormatting>
  <conditionalFormatting sqref="C75:H75 C78 C70:H70">
    <cfRule type="cellIs" dxfId="3" priority="12" operator="equal">
      <formula>0</formula>
    </cfRule>
  </conditionalFormatting>
  <conditionalFormatting sqref="D1">
    <cfRule type="cellIs" dxfId="2" priority="11" operator="equal">
      <formula>0</formula>
    </cfRule>
  </conditionalFormatting>
  <pageMargins left="0.7" right="0.7" top="0.75" bottom="0.75" header="0.3" footer="0.3"/>
  <pageSetup paperSize="9" scale="93" fitToHeight="0" orientation="landscape" r:id="rId1"/>
  <headerFooter>
    <oddFooter>&amp;R&amp;P</oddFooter>
  </headerFooter>
  <legacyDrawing r:id="rId2"/>
  <extLst>
    <ext xmlns:x14="http://schemas.microsoft.com/office/spreadsheetml/2009/9/main" uri="{78C0D931-6437-407d-A8EE-F0AAD7539E65}">
      <x14:conditionalFormattings>
        <x14:conditionalFormatting xmlns:xm="http://schemas.microsoft.com/office/excel/2006/main">
          <x14:cfRule type="containsText" priority="16" operator="containsText" id="{F5EFB9C0-92DC-4352-B36B-1FAA9F75CCB6}">
            <xm:f>NOT(ISERROR(SEARCH("Tāme sastādīta ____. gada ___. ______________",A73)))</xm:f>
            <xm:f>"Tāme sastādīta ____. gada ___. ______________"</xm:f>
            <x14:dxf>
              <font>
                <color auto="1"/>
              </font>
              <fill>
                <patternFill>
                  <bgColor rgb="FFC6EFCE"/>
                </patternFill>
              </fill>
            </x14:dxf>
          </x14:cfRule>
          <xm:sqref>A73</xm:sqref>
        </x14:conditionalFormatting>
        <x14:conditionalFormatting xmlns:xm="http://schemas.microsoft.com/office/excel/2006/main">
          <x14:cfRule type="containsText" priority="15" operator="containsText" id="{3BB206B1-1868-4700-BE70-76E8520E874A}">
            <xm:f>NOT(ISERROR(SEARCH("Sertifikāta Nr. _________________________________",A78)))</xm:f>
            <xm:f>"Sertifikāta Nr. _________________________________"</xm:f>
            <x14:dxf>
              <font>
                <color auto="1"/>
              </font>
              <fill>
                <patternFill>
                  <bgColor rgb="FFC6EFCE"/>
                </patternFill>
              </fill>
            </x14:dxf>
          </x14:cfRule>
          <xm:sqref>A78</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92D050"/>
    <pageSetUpPr fitToPage="1"/>
  </sheetPr>
  <dimension ref="A1:I52"/>
  <sheetViews>
    <sheetView view="pageBreakPreview" zoomScale="130" zoomScaleNormal="100" zoomScaleSheetLayoutView="130" workbookViewId="0">
      <selection activeCell="E31" sqref="E31"/>
    </sheetView>
  </sheetViews>
  <sheetFormatPr defaultColWidth="3.7109375" defaultRowHeight="11.25" x14ac:dyDescent="0.2"/>
  <cols>
    <col min="1" max="1" width="4" style="1" customWidth="1"/>
    <col min="2" max="2" width="5.28515625" style="1" customWidth="1"/>
    <col min="3" max="3" width="28.42578125" style="1" customWidth="1"/>
    <col min="4" max="4" width="6.85546875" style="1" customWidth="1"/>
    <col min="5" max="5" width="11.85546875" style="1" customWidth="1"/>
    <col min="6" max="6" width="9.85546875" style="1" customWidth="1"/>
    <col min="7" max="7" width="10" style="1" customWidth="1"/>
    <col min="8" max="8" width="8.7109375" style="1" customWidth="1"/>
    <col min="9" max="188" width="9.140625" style="1" customWidth="1"/>
    <col min="189" max="189" width="3.7109375" style="1"/>
    <col min="190" max="190" width="4.5703125" style="1" customWidth="1"/>
    <col min="191" max="191" width="5.85546875" style="1" customWidth="1"/>
    <col min="192" max="192" width="36" style="1" customWidth="1"/>
    <col min="193" max="193" width="9.7109375" style="1" customWidth="1"/>
    <col min="194" max="194" width="11.85546875" style="1" customWidth="1"/>
    <col min="195" max="195" width="9" style="1" customWidth="1"/>
    <col min="196" max="196" width="9.7109375" style="1" customWidth="1"/>
    <col min="197" max="197" width="9.28515625" style="1" customWidth="1"/>
    <col min="198" max="198" width="8.7109375" style="1" customWidth="1"/>
    <col min="199" max="199" width="6.85546875" style="1" customWidth="1"/>
    <col min="200" max="444" width="9.140625" style="1" customWidth="1"/>
    <col min="445" max="445" width="3.7109375" style="1"/>
    <col min="446" max="446" width="4.5703125" style="1" customWidth="1"/>
    <col min="447" max="447" width="5.85546875" style="1" customWidth="1"/>
    <col min="448" max="448" width="36" style="1" customWidth="1"/>
    <col min="449" max="449" width="9.7109375" style="1" customWidth="1"/>
    <col min="450" max="450" width="11.85546875" style="1" customWidth="1"/>
    <col min="451" max="451" width="9" style="1" customWidth="1"/>
    <col min="452" max="452" width="9.7109375" style="1" customWidth="1"/>
    <col min="453" max="453" width="9.28515625" style="1" customWidth="1"/>
    <col min="454" max="454" width="8.7109375" style="1" customWidth="1"/>
    <col min="455" max="455" width="6.85546875" style="1" customWidth="1"/>
    <col min="456" max="700" width="9.140625" style="1" customWidth="1"/>
    <col min="701" max="701" width="3.7109375" style="1"/>
    <col min="702" max="702" width="4.5703125" style="1" customWidth="1"/>
    <col min="703" max="703" width="5.85546875" style="1" customWidth="1"/>
    <col min="704" max="704" width="36" style="1" customWidth="1"/>
    <col min="705" max="705" width="9.7109375" style="1" customWidth="1"/>
    <col min="706" max="706" width="11.85546875" style="1" customWidth="1"/>
    <col min="707" max="707" width="9" style="1" customWidth="1"/>
    <col min="708" max="708" width="9.7109375" style="1" customWidth="1"/>
    <col min="709" max="709" width="9.28515625" style="1" customWidth="1"/>
    <col min="710" max="710" width="8.7109375" style="1" customWidth="1"/>
    <col min="711" max="711" width="6.85546875" style="1" customWidth="1"/>
    <col min="712" max="956" width="9.140625" style="1" customWidth="1"/>
    <col min="957" max="957" width="3.7109375" style="1"/>
    <col min="958" max="958" width="4.5703125" style="1" customWidth="1"/>
    <col min="959" max="959" width="5.85546875" style="1" customWidth="1"/>
    <col min="960" max="960" width="36" style="1" customWidth="1"/>
    <col min="961" max="961" width="9.7109375" style="1" customWidth="1"/>
    <col min="962" max="962" width="11.85546875" style="1" customWidth="1"/>
    <col min="963" max="963" width="9" style="1" customWidth="1"/>
    <col min="964" max="964" width="9.7109375" style="1" customWidth="1"/>
    <col min="965" max="965" width="9.28515625" style="1" customWidth="1"/>
    <col min="966" max="966" width="8.7109375" style="1" customWidth="1"/>
    <col min="967" max="967" width="6.85546875" style="1" customWidth="1"/>
    <col min="968" max="1212" width="9.140625" style="1" customWidth="1"/>
    <col min="1213" max="1213" width="3.7109375" style="1"/>
    <col min="1214" max="1214" width="4.5703125" style="1" customWidth="1"/>
    <col min="1215" max="1215" width="5.85546875" style="1" customWidth="1"/>
    <col min="1216" max="1216" width="36" style="1" customWidth="1"/>
    <col min="1217" max="1217" width="9.7109375" style="1" customWidth="1"/>
    <col min="1218" max="1218" width="11.85546875" style="1" customWidth="1"/>
    <col min="1219" max="1219" width="9" style="1" customWidth="1"/>
    <col min="1220" max="1220" width="9.7109375" style="1" customWidth="1"/>
    <col min="1221" max="1221" width="9.28515625" style="1" customWidth="1"/>
    <col min="1222" max="1222" width="8.7109375" style="1" customWidth="1"/>
    <col min="1223" max="1223" width="6.85546875" style="1" customWidth="1"/>
    <col min="1224" max="1468" width="9.140625" style="1" customWidth="1"/>
    <col min="1469" max="1469" width="3.7109375" style="1"/>
    <col min="1470" max="1470" width="4.5703125" style="1" customWidth="1"/>
    <col min="1471" max="1471" width="5.85546875" style="1" customWidth="1"/>
    <col min="1472" max="1472" width="36" style="1" customWidth="1"/>
    <col min="1473" max="1473" width="9.7109375" style="1" customWidth="1"/>
    <col min="1474" max="1474" width="11.85546875" style="1" customWidth="1"/>
    <col min="1475" max="1475" width="9" style="1" customWidth="1"/>
    <col min="1476" max="1476" width="9.7109375" style="1" customWidth="1"/>
    <col min="1477" max="1477" width="9.28515625" style="1" customWidth="1"/>
    <col min="1478" max="1478" width="8.7109375" style="1" customWidth="1"/>
    <col min="1479" max="1479" width="6.85546875" style="1" customWidth="1"/>
    <col min="1480" max="1724" width="9.140625" style="1" customWidth="1"/>
    <col min="1725" max="1725" width="3.7109375" style="1"/>
    <col min="1726" max="1726" width="4.5703125" style="1" customWidth="1"/>
    <col min="1727" max="1727" width="5.85546875" style="1" customWidth="1"/>
    <col min="1728" max="1728" width="36" style="1" customWidth="1"/>
    <col min="1729" max="1729" width="9.7109375" style="1" customWidth="1"/>
    <col min="1730" max="1730" width="11.85546875" style="1" customWidth="1"/>
    <col min="1731" max="1731" width="9" style="1" customWidth="1"/>
    <col min="1732" max="1732" width="9.7109375" style="1" customWidth="1"/>
    <col min="1733" max="1733" width="9.28515625" style="1" customWidth="1"/>
    <col min="1734" max="1734" width="8.7109375" style="1" customWidth="1"/>
    <col min="1735" max="1735" width="6.85546875" style="1" customWidth="1"/>
    <col min="1736" max="1980" width="9.140625" style="1" customWidth="1"/>
    <col min="1981" max="1981" width="3.7109375" style="1"/>
    <col min="1982" max="1982" width="4.5703125" style="1" customWidth="1"/>
    <col min="1983" max="1983" width="5.85546875" style="1" customWidth="1"/>
    <col min="1984" max="1984" width="36" style="1" customWidth="1"/>
    <col min="1985" max="1985" width="9.7109375" style="1" customWidth="1"/>
    <col min="1986" max="1986" width="11.85546875" style="1" customWidth="1"/>
    <col min="1987" max="1987" width="9" style="1" customWidth="1"/>
    <col min="1988" max="1988" width="9.7109375" style="1" customWidth="1"/>
    <col min="1989" max="1989" width="9.28515625" style="1" customWidth="1"/>
    <col min="1990" max="1990" width="8.7109375" style="1" customWidth="1"/>
    <col min="1991" max="1991" width="6.85546875" style="1" customWidth="1"/>
    <col min="1992" max="2236" width="9.140625" style="1" customWidth="1"/>
    <col min="2237" max="2237" width="3.7109375" style="1"/>
    <col min="2238" max="2238" width="4.5703125" style="1" customWidth="1"/>
    <col min="2239" max="2239" width="5.85546875" style="1" customWidth="1"/>
    <col min="2240" max="2240" width="36" style="1" customWidth="1"/>
    <col min="2241" max="2241" width="9.7109375" style="1" customWidth="1"/>
    <col min="2242" max="2242" width="11.85546875" style="1" customWidth="1"/>
    <col min="2243" max="2243" width="9" style="1" customWidth="1"/>
    <col min="2244" max="2244" width="9.7109375" style="1" customWidth="1"/>
    <col min="2245" max="2245" width="9.28515625" style="1" customWidth="1"/>
    <col min="2246" max="2246" width="8.7109375" style="1" customWidth="1"/>
    <col min="2247" max="2247" width="6.85546875" style="1" customWidth="1"/>
    <col min="2248" max="2492" width="9.140625" style="1" customWidth="1"/>
    <col min="2493" max="2493" width="3.7109375" style="1"/>
    <col min="2494" max="2494" width="4.5703125" style="1" customWidth="1"/>
    <col min="2495" max="2495" width="5.85546875" style="1" customWidth="1"/>
    <col min="2496" max="2496" width="36" style="1" customWidth="1"/>
    <col min="2497" max="2497" width="9.7109375" style="1" customWidth="1"/>
    <col min="2498" max="2498" width="11.85546875" style="1" customWidth="1"/>
    <col min="2499" max="2499" width="9" style="1" customWidth="1"/>
    <col min="2500" max="2500" width="9.7109375" style="1" customWidth="1"/>
    <col min="2501" max="2501" width="9.28515625" style="1" customWidth="1"/>
    <col min="2502" max="2502" width="8.7109375" style="1" customWidth="1"/>
    <col min="2503" max="2503" width="6.85546875" style="1" customWidth="1"/>
    <col min="2504" max="2748" width="9.140625" style="1" customWidth="1"/>
    <col min="2749" max="2749" width="3.7109375" style="1"/>
    <col min="2750" max="2750" width="4.5703125" style="1" customWidth="1"/>
    <col min="2751" max="2751" width="5.85546875" style="1" customWidth="1"/>
    <col min="2752" max="2752" width="36" style="1" customWidth="1"/>
    <col min="2753" max="2753" width="9.7109375" style="1" customWidth="1"/>
    <col min="2754" max="2754" width="11.85546875" style="1" customWidth="1"/>
    <col min="2755" max="2755" width="9" style="1" customWidth="1"/>
    <col min="2756" max="2756" width="9.7109375" style="1" customWidth="1"/>
    <col min="2757" max="2757" width="9.28515625" style="1" customWidth="1"/>
    <col min="2758" max="2758" width="8.7109375" style="1" customWidth="1"/>
    <col min="2759" max="2759" width="6.85546875" style="1" customWidth="1"/>
    <col min="2760" max="3004" width="9.140625" style="1" customWidth="1"/>
    <col min="3005" max="3005" width="3.7109375" style="1"/>
    <col min="3006" max="3006" width="4.5703125" style="1" customWidth="1"/>
    <col min="3007" max="3007" width="5.85546875" style="1" customWidth="1"/>
    <col min="3008" max="3008" width="36" style="1" customWidth="1"/>
    <col min="3009" max="3009" width="9.7109375" style="1" customWidth="1"/>
    <col min="3010" max="3010" width="11.85546875" style="1" customWidth="1"/>
    <col min="3011" max="3011" width="9" style="1" customWidth="1"/>
    <col min="3012" max="3012" width="9.7109375" style="1" customWidth="1"/>
    <col min="3013" max="3013" width="9.28515625" style="1" customWidth="1"/>
    <col min="3014" max="3014" width="8.7109375" style="1" customWidth="1"/>
    <col min="3015" max="3015" width="6.85546875" style="1" customWidth="1"/>
    <col min="3016" max="3260" width="9.140625" style="1" customWidth="1"/>
    <col min="3261" max="3261" width="3.7109375" style="1"/>
    <col min="3262" max="3262" width="4.5703125" style="1" customWidth="1"/>
    <col min="3263" max="3263" width="5.85546875" style="1" customWidth="1"/>
    <col min="3264" max="3264" width="36" style="1" customWidth="1"/>
    <col min="3265" max="3265" width="9.7109375" style="1" customWidth="1"/>
    <col min="3266" max="3266" width="11.85546875" style="1" customWidth="1"/>
    <col min="3267" max="3267" width="9" style="1" customWidth="1"/>
    <col min="3268" max="3268" width="9.7109375" style="1" customWidth="1"/>
    <col min="3269" max="3269" width="9.28515625" style="1" customWidth="1"/>
    <col min="3270" max="3270" width="8.7109375" style="1" customWidth="1"/>
    <col min="3271" max="3271" width="6.85546875" style="1" customWidth="1"/>
    <col min="3272" max="3516" width="9.140625" style="1" customWidth="1"/>
    <col min="3517" max="3517" width="3.7109375" style="1"/>
    <col min="3518" max="3518" width="4.5703125" style="1" customWidth="1"/>
    <col min="3519" max="3519" width="5.85546875" style="1" customWidth="1"/>
    <col min="3520" max="3520" width="36" style="1" customWidth="1"/>
    <col min="3521" max="3521" width="9.7109375" style="1" customWidth="1"/>
    <col min="3522" max="3522" width="11.85546875" style="1" customWidth="1"/>
    <col min="3523" max="3523" width="9" style="1" customWidth="1"/>
    <col min="3524" max="3524" width="9.7109375" style="1" customWidth="1"/>
    <col min="3525" max="3525" width="9.28515625" style="1" customWidth="1"/>
    <col min="3526" max="3526" width="8.7109375" style="1" customWidth="1"/>
    <col min="3527" max="3527" width="6.85546875" style="1" customWidth="1"/>
    <col min="3528" max="3772" width="9.140625" style="1" customWidth="1"/>
    <col min="3773" max="3773" width="3.7109375" style="1"/>
    <col min="3774" max="3774" width="4.5703125" style="1" customWidth="1"/>
    <col min="3775" max="3775" width="5.85546875" style="1" customWidth="1"/>
    <col min="3776" max="3776" width="36" style="1" customWidth="1"/>
    <col min="3777" max="3777" width="9.7109375" style="1" customWidth="1"/>
    <col min="3778" max="3778" width="11.85546875" style="1" customWidth="1"/>
    <col min="3779" max="3779" width="9" style="1" customWidth="1"/>
    <col min="3780" max="3780" width="9.7109375" style="1" customWidth="1"/>
    <col min="3781" max="3781" width="9.28515625" style="1" customWidth="1"/>
    <col min="3782" max="3782" width="8.7109375" style="1" customWidth="1"/>
    <col min="3783" max="3783" width="6.85546875" style="1" customWidth="1"/>
    <col min="3784" max="4028" width="9.140625" style="1" customWidth="1"/>
    <col min="4029" max="4029" width="3.7109375" style="1"/>
    <col min="4030" max="4030" width="4.5703125" style="1" customWidth="1"/>
    <col min="4031" max="4031" width="5.85546875" style="1" customWidth="1"/>
    <col min="4032" max="4032" width="36" style="1" customWidth="1"/>
    <col min="4033" max="4033" width="9.7109375" style="1" customWidth="1"/>
    <col min="4034" max="4034" width="11.85546875" style="1" customWidth="1"/>
    <col min="4035" max="4035" width="9" style="1" customWidth="1"/>
    <col min="4036" max="4036" width="9.7109375" style="1" customWidth="1"/>
    <col min="4037" max="4037" width="9.28515625" style="1" customWidth="1"/>
    <col min="4038" max="4038" width="8.7109375" style="1" customWidth="1"/>
    <col min="4039" max="4039" width="6.85546875" style="1" customWidth="1"/>
    <col min="4040" max="4284" width="9.140625" style="1" customWidth="1"/>
    <col min="4285" max="4285" width="3.7109375" style="1"/>
    <col min="4286" max="4286" width="4.5703125" style="1" customWidth="1"/>
    <col min="4287" max="4287" width="5.85546875" style="1" customWidth="1"/>
    <col min="4288" max="4288" width="36" style="1" customWidth="1"/>
    <col min="4289" max="4289" width="9.7109375" style="1" customWidth="1"/>
    <col min="4290" max="4290" width="11.85546875" style="1" customWidth="1"/>
    <col min="4291" max="4291" width="9" style="1" customWidth="1"/>
    <col min="4292" max="4292" width="9.7109375" style="1" customWidth="1"/>
    <col min="4293" max="4293" width="9.28515625" style="1" customWidth="1"/>
    <col min="4294" max="4294" width="8.7109375" style="1" customWidth="1"/>
    <col min="4295" max="4295" width="6.85546875" style="1" customWidth="1"/>
    <col min="4296" max="4540" width="9.140625" style="1" customWidth="1"/>
    <col min="4541" max="4541" width="3.7109375" style="1"/>
    <col min="4542" max="4542" width="4.5703125" style="1" customWidth="1"/>
    <col min="4543" max="4543" width="5.85546875" style="1" customWidth="1"/>
    <col min="4544" max="4544" width="36" style="1" customWidth="1"/>
    <col min="4545" max="4545" width="9.7109375" style="1" customWidth="1"/>
    <col min="4546" max="4546" width="11.85546875" style="1" customWidth="1"/>
    <col min="4547" max="4547" width="9" style="1" customWidth="1"/>
    <col min="4548" max="4548" width="9.7109375" style="1" customWidth="1"/>
    <col min="4549" max="4549" width="9.28515625" style="1" customWidth="1"/>
    <col min="4550" max="4550" width="8.7109375" style="1" customWidth="1"/>
    <col min="4551" max="4551" width="6.85546875" style="1" customWidth="1"/>
    <col min="4552" max="4796" width="9.140625" style="1" customWidth="1"/>
    <col min="4797" max="4797" width="3.7109375" style="1"/>
    <col min="4798" max="4798" width="4.5703125" style="1" customWidth="1"/>
    <col min="4799" max="4799" width="5.85546875" style="1" customWidth="1"/>
    <col min="4800" max="4800" width="36" style="1" customWidth="1"/>
    <col min="4801" max="4801" width="9.7109375" style="1" customWidth="1"/>
    <col min="4802" max="4802" width="11.85546875" style="1" customWidth="1"/>
    <col min="4803" max="4803" width="9" style="1" customWidth="1"/>
    <col min="4804" max="4804" width="9.7109375" style="1" customWidth="1"/>
    <col min="4805" max="4805" width="9.28515625" style="1" customWidth="1"/>
    <col min="4806" max="4806" width="8.7109375" style="1" customWidth="1"/>
    <col min="4807" max="4807" width="6.85546875" style="1" customWidth="1"/>
    <col min="4808" max="5052" width="9.140625" style="1" customWidth="1"/>
    <col min="5053" max="5053" width="3.7109375" style="1"/>
    <col min="5054" max="5054" width="4.5703125" style="1" customWidth="1"/>
    <col min="5055" max="5055" width="5.85546875" style="1" customWidth="1"/>
    <col min="5056" max="5056" width="36" style="1" customWidth="1"/>
    <col min="5057" max="5057" width="9.7109375" style="1" customWidth="1"/>
    <col min="5058" max="5058" width="11.85546875" style="1" customWidth="1"/>
    <col min="5059" max="5059" width="9" style="1" customWidth="1"/>
    <col min="5060" max="5060" width="9.7109375" style="1" customWidth="1"/>
    <col min="5061" max="5061" width="9.28515625" style="1" customWidth="1"/>
    <col min="5062" max="5062" width="8.7109375" style="1" customWidth="1"/>
    <col min="5063" max="5063" width="6.85546875" style="1" customWidth="1"/>
    <col min="5064" max="5308" width="9.140625" style="1" customWidth="1"/>
    <col min="5309" max="5309" width="3.7109375" style="1"/>
    <col min="5310" max="5310" width="4.5703125" style="1" customWidth="1"/>
    <col min="5311" max="5311" width="5.85546875" style="1" customWidth="1"/>
    <col min="5312" max="5312" width="36" style="1" customWidth="1"/>
    <col min="5313" max="5313" width="9.7109375" style="1" customWidth="1"/>
    <col min="5314" max="5314" width="11.85546875" style="1" customWidth="1"/>
    <col min="5315" max="5315" width="9" style="1" customWidth="1"/>
    <col min="5316" max="5316" width="9.7109375" style="1" customWidth="1"/>
    <col min="5317" max="5317" width="9.28515625" style="1" customWidth="1"/>
    <col min="5318" max="5318" width="8.7109375" style="1" customWidth="1"/>
    <col min="5319" max="5319" width="6.85546875" style="1" customWidth="1"/>
    <col min="5320" max="5564" width="9.140625" style="1" customWidth="1"/>
    <col min="5565" max="5565" width="3.7109375" style="1"/>
    <col min="5566" max="5566" width="4.5703125" style="1" customWidth="1"/>
    <col min="5567" max="5567" width="5.85546875" style="1" customWidth="1"/>
    <col min="5568" max="5568" width="36" style="1" customWidth="1"/>
    <col min="5569" max="5569" width="9.7109375" style="1" customWidth="1"/>
    <col min="5570" max="5570" width="11.85546875" style="1" customWidth="1"/>
    <col min="5571" max="5571" width="9" style="1" customWidth="1"/>
    <col min="5572" max="5572" width="9.7109375" style="1" customWidth="1"/>
    <col min="5573" max="5573" width="9.28515625" style="1" customWidth="1"/>
    <col min="5574" max="5574" width="8.7109375" style="1" customWidth="1"/>
    <col min="5575" max="5575" width="6.85546875" style="1" customWidth="1"/>
    <col min="5576" max="5820" width="9.140625" style="1" customWidth="1"/>
    <col min="5821" max="5821" width="3.7109375" style="1"/>
    <col min="5822" max="5822" width="4.5703125" style="1" customWidth="1"/>
    <col min="5823" max="5823" width="5.85546875" style="1" customWidth="1"/>
    <col min="5824" max="5824" width="36" style="1" customWidth="1"/>
    <col min="5825" max="5825" width="9.7109375" style="1" customWidth="1"/>
    <col min="5826" max="5826" width="11.85546875" style="1" customWidth="1"/>
    <col min="5827" max="5827" width="9" style="1" customWidth="1"/>
    <col min="5828" max="5828" width="9.7109375" style="1" customWidth="1"/>
    <col min="5829" max="5829" width="9.28515625" style="1" customWidth="1"/>
    <col min="5830" max="5830" width="8.7109375" style="1" customWidth="1"/>
    <col min="5831" max="5831" width="6.85546875" style="1" customWidth="1"/>
    <col min="5832" max="6076" width="9.140625" style="1" customWidth="1"/>
    <col min="6077" max="6077" width="3.7109375" style="1"/>
    <col min="6078" max="6078" width="4.5703125" style="1" customWidth="1"/>
    <col min="6079" max="6079" width="5.85546875" style="1" customWidth="1"/>
    <col min="6080" max="6080" width="36" style="1" customWidth="1"/>
    <col min="6081" max="6081" width="9.7109375" style="1" customWidth="1"/>
    <col min="6082" max="6082" width="11.85546875" style="1" customWidth="1"/>
    <col min="6083" max="6083" width="9" style="1" customWidth="1"/>
    <col min="6084" max="6084" width="9.7109375" style="1" customWidth="1"/>
    <col min="6085" max="6085" width="9.28515625" style="1" customWidth="1"/>
    <col min="6086" max="6086" width="8.7109375" style="1" customWidth="1"/>
    <col min="6087" max="6087" width="6.85546875" style="1" customWidth="1"/>
    <col min="6088" max="6332" width="9.140625" style="1" customWidth="1"/>
    <col min="6333" max="6333" width="3.7109375" style="1"/>
    <col min="6334" max="6334" width="4.5703125" style="1" customWidth="1"/>
    <col min="6335" max="6335" width="5.85546875" style="1" customWidth="1"/>
    <col min="6336" max="6336" width="36" style="1" customWidth="1"/>
    <col min="6337" max="6337" width="9.7109375" style="1" customWidth="1"/>
    <col min="6338" max="6338" width="11.85546875" style="1" customWidth="1"/>
    <col min="6339" max="6339" width="9" style="1" customWidth="1"/>
    <col min="6340" max="6340" width="9.7109375" style="1" customWidth="1"/>
    <col min="6341" max="6341" width="9.28515625" style="1" customWidth="1"/>
    <col min="6342" max="6342" width="8.7109375" style="1" customWidth="1"/>
    <col min="6343" max="6343" width="6.85546875" style="1" customWidth="1"/>
    <col min="6344" max="6588" width="9.140625" style="1" customWidth="1"/>
    <col min="6589" max="6589" width="3.7109375" style="1"/>
    <col min="6590" max="6590" width="4.5703125" style="1" customWidth="1"/>
    <col min="6591" max="6591" width="5.85546875" style="1" customWidth="1"/>
    <col min="6592" max="6592" width="36" style="1" customWidth="1"/>
    <col min="6593" max="6593" width="9.7109375" style="1" customWidth="1"/>
    <col min="6594" max="6594" width="11.85546875" style="1" customWidth="1"/>
    <col min="6595" max="6595" width="9" style="1" customWidth="1"/>
    <col min="6596" max="6596" width="9.7109375" style="1" customWidth="1"/>
    <col min="6597" max="6597" width="9.28515625" style="1" customWidth="1"/>
    <col min="6598" max="6598" width="8.7109375" style="1" customWidth="1"/>
    <col min="6599" max="6599" width="6.85546875" style="1" customWidth="1"/>
    <col min="6600" max="6844" width="9.140625" style="1" customWidth="1"/>
    <col min="6845" max="6845" width="3.7109375" style="1"/>
    <col min="6846" max="6846" width="4.5703125" style="1" customWidth="1"/>
    <col min="6847" max="6847" width="5.85546875" style="1" customWidth="1"/>
    <col min="6848" max="6848" width="36" style="1" customWidth="1"/>
    <col min="6849" max="6849" width="9.7109375" style="1" customWidth="1"/>
    <col min="6850" max="6850" width="11.85546875" style="1" customWidth="1"/>
    <col min="6851" max="6851" width="9" style="1" customWidth="1"/>
    <col min="6852" max="6852" width="9.7109375" style="1" customWidth="1"/>
    <col min="6853" max="6853" width="9.28515625" style="1" customWidth="1"/>
    <col min="6854" max="6854" width="8.7109375" style="1" customWidth="1"/>
    <col min="6855" max="6855" width="6.85546875" style="1" customWidth="1"/>
    <col min="6856" max="7100" width="9.140625" style="1" customWidth="1"/>
    <col min="7101" max="7101" width="3.7109375" style="1"/>
    <col min="7102" max="7102" width="4.5703125" style="1" customWidth="1"/>
    <col min="7103" max="7103" width="5.85546875" style="1" customWidth="1"/>
    <col min="7104" max="7104" width="36" style="1" customWidth="1"/>
    <col min="7105" max="7105" width="9.7109375" style="1" customWidth="1"/>
    <col min="7106" max="7106" width="11.85546875" style="1" customWidth="1"/>
    <col min="7107" max="7107" width="9" style="1" customWidth="1"/>
    <col min="7108" max="7108" width="9.7109375" style="1" customWidth="1"/>
    <col min="7109" max="7109" width="9.28515625" style="1" customWidth="1"/>
    <col min="7110" max="7110" width="8.7109375" style="1" customWidth="1"/>
    <col min="7111" max="7111" width="6.85546875" style="1" customWidth="1"/>
    <col min="7112" max="7356" width="9.140625" style="1" customWidth="1"/>
    <col min="7357" max="7357" width="3.7109375" style="1"/>
    <col min="7358" max="7358" width="4.5703125" style="1" customWidth="1"/>
    <col min="7359" max="7359" width="5.85546875" style="1" customWidth="1"/>
    <col min="7360" max="7360" width="36" style="1" customWidth="1"/>
    <col min="7361" max="7361" width="9.7109375" style="1" customWidth="1"/>
    <col min="7362" max="7362" width="11.85546875" style="1" customWidth="1"/>
    <col min="7363" max="7363" width="9" style="1" customWidth="1"/>
    <col min="7364" max="7364" width="9.7109375" style="1" customWidth="1"/>
    <col min="7365" max="7365" width="9.28515625" style="1" customWidth="1"/>
    <col min="7366" max="7366" width="8.7109375" style="1" customWidth="1"/>
    <col min="7367" max="7367" width="6.85546875" style="1" customWidth="1"/>
    <col min="7368" max="7612" width="9.140625" style="1" customWidth="1"/>
    <col min="7613" max="7613" width="3.7109375" style="1"/>
    <col min="7614" max="7614" width="4.5703125" style="1" customWidth="1"/>
    <col min="7615" max="7615" width="5.85546875" style="1" customWidth="1"/>
    <col min="7616" max="7616" width="36" style="1" customWidth="1"/>
    <col min="7617" max="7617" width="9.7109375" style="1" customWidth="1"/>
    <col min="7618" max="7618" width="11.85546875" style="1" customWidth="1"/>
    <col min="7619" max="7619" width="9" style="1" customWidth="1"/>
    <col min="7620" max="7620" width="9.7109375" style="1" customWidth="1"/>
    <col min="7621" max="7621" width="9.28515625" style="1" customWidth="1"/>
    <col min="7622" max="7622" width="8.7109375" style="1" customWidth="1"/>
    <col min="7623" max="7623" width="6.85546875" style="1" customWidth="1"/>
    <col min="7624" max="7868" width="9.140625" style="1" customWidth="1"/>
    <col min="7869" max="7869" width="3.7109375" style="1"/>
    <col min="7870" max="7870" width="4.5703125" style="1" customWidth="1"/>
    <col min="7871" max="7871" width="5.85546875" style="1" customWidth="1"/>
    <col min="7872" max="7872" width="36" style="1" customWidth="1"/>
    <col min="7873" max="7873" width="9.7109375" style="1" customWidth="1"/>
    <col min="7874" max="7874" width="11.85546875" style="1" customWidth="1"/>
    <col min="7875" max="7875" width="9" style="1" customWidth="1"/>
    <col min="7876" max="7876" width="9.7109375" style="1" customWidth="1"/>
    <col min="7877" max="7877" width="9.28515625" style="1" customWidth="1"/>
    <col min="7878" max="7878" width="8.7109375" style="1" customWidth="1"/>
    <col min="7879" max="7879" width="6.85546875" style="1" customWidth="1"/>
    <col min="7880" max="8124" width="9.140625" style="1" customWidth="1"/>
    <col min="8125" max="8125" width="3.7109375" style="1"/>
    <col min="8126" max="8126" width="4.5703125" style="1" customWidth="1"/>
    <col min="8127" max="8127" width="5.85546875" style="1" customWidth="1"/>
    <col min="8128" max="8128" width="36" style="1" customWidth="1"/>
    <col min="8129" max="8129" width="9.7109375" style="1" customWidth="1"/>
    <col min="8130" max="8130" width="11.85546875" style="1" customWidth="1"/>
    <col min="8131" max="8131" width="9" style="1" customWidth="1"/>
    <col min="8132" max="8132" width="9.7109375" style="1" customWidth="1"/>
    <col min="8133" max="8133" width="9.28515625" style="1" customWidth="1"/>
    <col min="8134" max="8134" width="8.7109375" style="1" customWidth="1"/>
    <col min="8135" max="8135" width="6.85546875" style="1" customWidth="1"/>
    <col min="8136" max="8380" width="9.140625" style="1" customWidth="1"/>
    <col min="8381" max="8381" width="3.7109375" style="1"/>
    <col min="8382" max="8382" width="4.5703125" style="1" customWidth="1"/>
    <col min="8383" max="8383" width="5.85546875" style="1" customWidth="1"/>
    <col min="8384" max="8384" width="36" style="1" customWidth="1"/>
    <col min="8385" max="8385" width="9.7109375" style="1" customWidth="1"/>
    <col min="8386" max="8386" width="11.85546875" style="1" customWidth="1"/>
    <col min="8387" max="8387" width="9" style="1" customWidth="1"/>
    <col min="8388" max="8388" width="9.7109375" style="1" customWidth="1"/>
    <col min="8389" max="8389" width="9.28515625" style="1" customWidth="1"/>
    <col min="8390" max="8390" width="8.7109375" style="1" customWidth="1"/>
    <col min="8391" max="8391" width="6.85546875" style="1" customWidth="1"/>
    <col min="8392" max="8636" width="9.140625" style="1" customWidth="1"/>
    <col min="8637" max="8637" width="3.7109375" style="1"/>
    <col min="8638" max="8638" width="4.5703125" style="1" customWidth="1"/>
    <col min="8639" max="8639" width="5.85546875" style="1" customWidth="1"/>
    <col min="8640" max="8640" width="36" style="1" customWidth="1"/>
    <col min="8641" max="8641" width="9.7109375" style="1" customWidth="1"/>
    <col min="8642" max="8642" width="11.85546875" style="1" customWidth="1"/>
    <col min="8643" max="8643" width="9" style="1" customWidth="1"/>
    <col min="8644" max="8644" width="9.7109375" style="1" customWidth="1"/>
    <col min="8645" max="8645" width="9.28515625" style="1" customWidth="1"/>
    <col min="8646" max="8646" width="8.7109375" style="1" customWidth="1"/>
    <col min="8647" max="8647" width="6.85546875" style="1" customWidth="1"/>
    <col min="8648" max="8892" width="9.140625" style="1" customWidth="1"/>
    <col min="8893" max="8893" width="3.7109375" style="1"/>
    <col min="8894" max="8894" width="4.5703125" style="1" customWidth="1"/>
    <col min="8895" max="8895" width="5.85546875" style="1" customWidth="1"/>
    <col min="8896" max="8896" width="36" style="1" customWidth="1"/>
    <col min="8897" max="8897" width="9.7109375" style="1" customWidth="1"/>
    <col min="8898" max="8898" width="11.85546875" style="1" customWidth="1"/>
    <col min="8899" max="8899" width="9" style="1" customWidth="1"/>
    <col min="8900" max="8900" width="9.7109375" style="1" customWidth="1"/>
    <col min="8901" max="8901" width="9.28515625" style="1" customWidth="1"/>
    <col min="8902" max="8902" width="8.7109375" style="1" customWidth="1"/>
    <col min="8903" max="8903" width="6.85546875" style="1" customWidth="1"/>
    <col min="8904" max="9148" width="9.140625" style="1" customWidth="1"/>
    <col min="9149" max="9149" width="3.7109375" style="1"/>
    <col min="9150" max="9150" width="4.5703125" style="1" customWidth="1"/>
    <col min="9151" max="9151" width="5.85546875" style="1" customWidth="1"/>
    <col min="9152" max="9152" width="36" style="1" customWidth="1"/>
    <col min="9153" max="9153" width="9.7109375" style="1" customWidth="1"/>
    <col min="9154" max="9154" width="11.85546875" style="1" customWidth="1"/>
    <col min="9155" max="9155" width="9" style="1" customWidth="1"/>
    <col min="9156" max="9156" width="9.7109375" style="1" customWidth="1"/>
    <col min="9157" max="9157" width="9.28515625" style="1" customWidth="1"/>
    <col min="9158" max="9158" width="8.7109375" style="1" customWidth="1"/>
    <col min="9159" max="9159" width="6.85546875" style="1" customWidth="1"/>
    <col min="9160" max="9404" width="9.140625" style="1" customWidth="1"/>
    <col min="9405" max="9405" width="3.7109375" style="1"/>
    <col min="9406" max="9406" width="4.5703125" style="1" customWidth="1"/>
    <col min="9407" max="9407" width="5.85546875" style="1" customWidth="1"/>
    <col min="9408" max="9408" width="36" style="1" customWidth="1"/>
    <col min="9409" max="9409" width="9.7109375" style="1" customWidth="1"/>
    <col min="9410" max="9410" width="11.85546875" style="1" customWidth="1"/>
    <col min="9411" max="9411" width="9" style="1" customWidth="1"/>
    <col min="9412" max="9412" width="9.7109375" style="1" customWidth="1"/>
    <col min="9413" max="9413" width="9.28515625" style="1" customWidth="1"/>
    <col min="9414" max="9414" width="8.7109375" style="1" customWidth="1"/>
    <col min="9415" max="9415" width="6.85546875" style="1" customWidth="1"/>
    <col min="9416" max="9660" width="9.140625" style="1" customWidth="1"/>
    <col min="9661" max="9661" width="3.7109375" style="1"/>
    <col min="9662" max="9662" width="4.5703125" style="1" customWidth="1"/>
    <col min="9663" max="9663" width="5.85546875" style="1" customWidth="1"/>
    <col min="9664" max="9664" width="36" style="1" customWidth="1"/>
    <col min="9665" max="9665" width="9.7109375" style="1" customWidth="1"/>
    <col min="9666" max="9666" width="11.85546875" style="1" customWidth="1"/>
    <col min="9667" max="9667" width="9" style="1" customWidth="1"/>
    <col min="9668" max="9668" width="9.7109375" style="1" customWidth="1"/>
    <col min="9669" max="9669" width="9.28515625" style="1" customWidth="1"/>
    <col min="9670" max="9670" width="8.7109375" style="1" customWidth="1"/>
    <col min="9671" max="9671" width="6.85546875" style="1" customWidth="1"/>
    <col min="9672" max="9916" width="9.140625" style="1" customWidth="1"/>
    <col min="9917" max="9917" width="3.7109375" style="1"/>
    <col min="9918" max="9918" width="4.5703125" style="1" customWidth="1"/>
    <col min="9919" max="9919" width="5.85546875" style="1" customWidth="1"/>
    <col min="9920" max="9920" width="36" style="1" customWidth="1"/>
    <col min="9921" max="9921" width="9.7109375" style="1" customWidth="1"/>
    <col min="9922" max="9922" width="11.85546875" style="1" customWidth="1"/>
    <col min="9923" max="9923" width="9" style="1" customWidth="1"/>
    <col min="9924" max="9924" width="9.7109375" style="1" customWidth="1"/>
    <col min="9925" max="9925" width="9.28515625" style="1" customWidth="1"/>
    <col min="9926" max="9926" width="8.7109375" style="1" customWidth="1"/>
    <col min="9927" max="9927" width="6.85546875" style="1" customWidth="1"/>
    <col min="9928" max="10172" width="9.140625" style="1" customWidth="1"/>
    <col min="10173" max="10173" width="3.7109375" style="1"/>
    <col min="10174" max="10174" width="4.5703125" style="1" customWidth="1"/>
    <col min="10175" max="10175" width="5.85546875" style="1" customWidth="1"/>
    <col min="10176" max="10176" width="36" style="1" customWidth="1"/>
    <col min="10177" max="10177" width="9.7109375" style="1" customWidth="1"/>
    <col min="10178" max="10178" width="11.85546875" style="1" customWidth="1"/>
    <col min="10179" max="10179" width="9" style="1" customWidth="1"/>
    <col min="10180" max="10180" width="9.7109375" style="1" customWidth="1"/>
    <col min="10181" max="10181" width="9.28515625" style="1" customWidth="1"/>
    <col min="10182" max="10182" width="8.7109375" style="1" customWidth="1"/>
    <col min="10183" max="10183" width="6.85546875" style="1" customWidth="1"/>
    <col min="10184" max="10428" width="9.140625" style="1" customWidth="1"/>
    <col min="10429" max="10429" width="3.7109375" style="1"/>
    <col min="10430" max="10430" width="4.5703125" style="1" customWidth="1"/>
    <col min="10431" max="10431" width="5.85546875" style="1" customWidth="1"/>
    <col min="10432" max="10432" width="36" style="1" customWidth="1"/>
    <col min="10433" max="10433" width="9.7109375" style="1" customWidth="1"/>
    <col min="10434" max="10434" width="11.85546875" style="1" customWidth="1"/>
    <col min="10435" max="10435" width="9" style="1" customWidth="1"/>
    <col min="10436" max="10436" width="9.7109375" style="1" customWidth="1"/>
    <col min="10437" max="10437" width="9.28515625" style="1" customWidth="1"/>
    <col min="10438" max="10438" width="8.7109375" style="1" customWidth="1"/>
    <col min="10439" max="10439" width="6.85546875" style="1" customWidth="1"/>
    <col min="10440" max="10684" width="9.140625" style="1" customWidth="1"/>
    <col min="10685" max="10685" width="3.7109375" style="1"/>
    <col min="10686" max="10686" width="4.5703125" style="1" customWidth="1"/>
    <col min="10687" max="10687" width="5.85546875" style="1" customWidth="1"/>
    <col min="10688" max="10688" width="36" style="1" customWidth="1"/>
    <col min="10689" max="10689" width="9.7109375" style="1" customWidth="1"/>
    <col min="10690" max="10690" width="11.85546875" style="1" customWidth="1"/>
    <col min="10691" max="10691" width="9" style="1" customWidth="1"/>
    <col min="10692" max="10692" width="9.7109375" style="1" customWidth="1"/>
    <col min="10693" max="10693" width="9.28515625" style="1" customWidth="1"/>
    <col min="10694" max="10694" width="8.7109375" style="1" customWidth="1"/>
    <col min="10695" max="10695" width="6.85546875" style="1" customWidth="1"/>
    <col min="10696" max="10940" width="9.140625" style="1" customWidth="1"/>
    <col min="10941" max="10941" width="3.7109375" style="1"/>
    <col min="10942" max="10942" width="4.5703125" style="1" customWidth="1"/>
    <col min="10943" max="10943" width="5.85546875" style="1" customWidth="1"/>
    <col min="10944" max="10944" width="36" style="1" customWidth="1"/>
    <col min="10945" max="10945" width="9.7109375" style="1" customWidth="1"/>
    <col min="10946" max="10946" width="11.85546875" style="1" customWidth="1"/>
    <col min="10947" max="10947" width="9" style="1" customWidth="1"/>
    <col min="10948" max="10948" width="9.7109375" style="1" customWidth="1"/>
    <col min="10949" max="10949" width="9.28515625" style="1" customWidth="1"/>
    <col min="10950" max="10950" width="8.7109375" style="1" customWidth="1"/>
    <col min="10951" max="10951" width="6.85546875" style="1" customWidth="1"/>
    <col min="10952" max="11196" width="9.140625" style="1" customWidth="1"/>
    <col min="11197" max="11197" width="3.7109375" style="1"/>
    <col min="11198" max="11198" width="4.5703125" style="1" customWidth="1"/>
    <col min="11199" max="11199" width="5.85546875" style="1" customWidth="1"/>
    <col min="11200" max="11200" width="36" style="1" customWidth="1"/>
    <col min="11201" max="11201" width="9.7109375" style="1" customWidth="1"/>
    <col min="11202" max="11202" width="11.85546875" style="1" customWidth="1"/>
    <col min="11203" max="11203" width="9" style="1" customWidth="1"/>
    <col min="11204" max="11204" width="9.7109375" style="1" customWidth="1"/>
    <col min="11205" max="11205" width="9.28515625" style="1" customWidth="1"/>
    <col min="11206" max="11206" width="8.7109375" style="1" customWidth="1"/>
    <col min="11207" max="11207" width="6.85546875" style="1" customWidth="1"/>
    <col min="11208" max="11452" width="9.140625" style="1" customWidth="1"/>
    <col min="11453" max="11453" width="3.7109375" style="1"/>
    <col min="11454" max="11454" width="4.5703125" style="1" customWidth="1"/>
    <col min="11455" max="11455" width="5.85546875" style="1" customWidth="1"/>
    <col min="11456" max="11456" width="36" style="1" customWidth="1"/>
    <col min="11457" max="11457" width="9.7109375" style="1" customWidth="1"/>
    <col min="11458" max="11458" width="11.85546875" style="1" customWidth="1"/>
    <col min="11459" max="11459" width="9" style="1" customWidth="1"/>
    <col min="11460" max="11460" width="9.7109375" style="1" customWidth="1"/>
    <col min="11461" max="11461" width="9.28515625" style="1" customWidth="1"/>
    <col min="11462" max="11462" width="8.7109375" style="1" customWidth="1"/>
    <col min="11463" max="11463" width="6.85546875" style="1" customWidth="1"/>
    <col min="11464" max="11708" width="9.140625" style="1" customWidth="1"/>
    <col min="11709" max="11709" width="3.7109375" style="1"/>
    <col min="11710" max="11710" width="4.5703125" style="1" customWidth="1"/>
    <col min="11711" max="11711" width="5.85546875" style="1" customWidth="1"/>
    <col min="11712" max="11712" width="36" style="1" customWidth="1"/>
    <col min="11713" max="11713" width="9.7109375" style="1" customWidth="1"/>
    <col min="11714" max="11714" width="11.85546875" style="1" customWidth="1"/>
    <col min="11715" max="11715" width="9" style="1" customWidth="1"/>
    <col min="11716" max="11716" width="9.7109375" style="1" customWidth="1"/>
    <col min="11717" max="11717" width="9.28515625" style="1" customWidth="1"/>
    <col min="11718" max="11718" width="8.7109375" style="1" customWidth="1"/>
    <col min="11719" max="11719" width="6.85546875" style="1" customWidth="1"/>
    <col min="11720" max="11964" width="9.140625" style="1" customWidth="1"/>
    <col min="11965" max="11965" width="3.7109375" style="1"/>
    <col min="11966" max="11966" width="4.5703125" style="1" customWidth="1"/>
    <col min="11967" max="11967" width="5.85546875" style="1" customWidth="1"/>
    <col min="11968" max="11968" width="36" style="1" customWidth="1"/>
    <col min="11969" max="11969" width="9.7109375" style="1" customWidth="1"/>
    <col min="11970" max="11970" width="11.85546875" style="1" customWidth="1"/>
    <col min="11971" max="11971" width="9" style="1" customWidth="1"/>
    <col min="11972" max="11972" width="9.7109375" style="1" customWidth="1"/>
    <col min="11973" max="11973" width="9.28515625" style="1" customWidth="1"/>
    <col min="11974" max="11974" width="8.7109375" style="1" customWidth="1"/>
    <col min="11975" max="11975" width="6.85546875" style="1" customWidth="1"/>
    <col min="11976" max="12220" width="9.140625" style="1" customWidth="1"/>
    <col min="12221" max="12221" width="3.7109375" style="1"/>
    <col min="12222" max="12222" width="4.5703125" style="1" customWidth="1"/>
    <col min="12223" max="12223" width="5.85546875" style="1" customWidth="1"/>
    <col min="12224" max="12224" width="36" style="1" customWidth="1"/>
    <col min="12225" max="12225" width="9.7109375" style="1" customWidth="1"/>
    <col min="12226" max="12226" width="11.85546875" style="1" customWidth="1"/>
    <col min="12227" max="12227" width="9" style="1" customWidth="1"/>
    <col min="12228" max="12228" width="9.7109375" style="1" customWidth="1"/>
    <col min="12229" max="12229" width="9.28515625" style="1" customWidth="1"/>
    <col min="12230" max="12230" width="8.7109375" style="1" customWidth="1"/>
    <col min="12231" max="12231" width="6.85546875" style="1" customWidth="1"/>
    <col min="12232" max="12476" width="9.140625" style="1" customWidth="1"/>
    <col min="12477" max="12477" width="3.7109375" style="1"/>
    <col min="12478" max="12478" width="4.5703125" style="1" customWidth="1"/>
    <col min="12479" max="12479" width="5.85546875" style="1" customWidth="1"/>
    <col min="12480" max="12480" width="36" style="1" customWidth="1"/>
    <col min="12481" max="12481" width="9.7109375" style="1" customWidth="1"/>
    <col min="12482" max="12482" width="11.85546875" style="1" customWidth="1"/>
    <col min="12483" max="12483" width="9" style="1" customWidth="1"/>
    <col min="12484" max="12484" width="9.7109375" style="1" customWidth="1"/>
    <col min="12485" max="12485" width="9.28515625" style="1" customWidth="1"/>
    <col min="12486" max="12486" width="8.7109375" style="1" customWidth="1"/>
    <col min="12487" max="12487" width="6.85546875" style="1" customWidth="1"/>
    <col min="12488" max="12732" width="9.140625" style="1" customWidth="1"/>
    <col min="12733" max="12733" width="3.7109375" style="1"/>
    <col min="12734" max="12734" width="4.5703125" style="1" customWidth="1"/>
    <col min="12735" max="12735" width="5.85546875" style="1" customWidth="1"/>
    <col min="12736" max="12736" width="36" style="1" customWidth="1"/>
    <col min="12737" max="12737" width="9.7109375" style="1" customWidth="1"/>
    <col min="12738" max="12738" width="11.85546875" style="1" customWidth="1"/>
    <col min="12739" max="12739" width="9" style="1" customWidth="1"/>
    <col min="12740" max="12740" width="9.7109375" style="1" customWidth="1"/>
    <col min="12741" max="12741" width="9.28515625" style="1" customWidth="1"/>
    <col min="12742" max="12742" width="8.7109375" style="1" customWidth="1"/>
    <col min="12743" max="12743" width="6.85546875" style="1" customWidth="1"/>
    <col min="12744" max="12988" width="9.140625" style="1" customWidth="1"/>
    <col min="12989" max="12989" width="3.7109375" style="1"/>
    <col min="12990" max="12990" width="4.5703125" style="1" customWidth="1"/>
    <col min="12991" max="12991" width="5.85546875" style="1" customWidth="1"/>
    <col min="12992" max="12992" width="36" style="1" customWidth="1"/>
    <col min="12993" max="12993" width="9.7109375" style="1" customWidth="1"/>
    <col min="12994" max="12994" width="11.85546875" style="1" customWidth="1"/>
    <col min="12995" max="12995" width="9" style="1" customWidth="1"/>
    <col min="12996" max="12996" width="9.7109375" style="1" customWidth="1"/>
    <col min="12997" max="12997" width="9.28515625" style="1" customWidth="1"/>
    <col min="12998" max="12998" width="8.7109375" style="1" customWidth="1"/>
    <col min="12999" max="12999" width="6.85546875" style="1" customWidth="1"/>
    <col min="13000" max="13244" width="9.140625" style="1" customWidth="1"/>
    <col min="13245" max="13245" width="3.7109375" style="1"/>
    <col min="13246" max="13246" width="4.5703125" style="1" customWidth="1"/>
    <col min="13247" max="13247" width="5.85546875" style="1" customWidth="1"/>
    <col min="13248" max="13248" width="36" style="1" customWidth="1"/>
    <col min="13249" max="13249" width="9.7109375" style="1" customWidth="1"/>
    <col min="13250" max="13250" width="11.85546875" style="1" customWidth="1"/>
    <col min="13251" max="13251" width="9" style="1" customWidth="1"/>
    <col min="13252" max="13252" width="9.7109375" style="1" customWidth="1"/>
    <col min="13253" max="13253" width="9.28515625" style="1" customWidth="1"/>
    <col min="13254" max="13254" width="8.7109375" style="1" customWidth="1"/>
    <col min="13255" max="13255" width="6.85546875" style="1" customWidth="1"/>
    <col min="13256" max="13500" width="9.140625" style="1" customWidth="1"/>
    <col min="13501" max="13501" width="3.7109375" style="1"/>
    <col min="13502" max="13502" width="4.5703125" style="1" customWidth="1"/>
    <col min="13503" max="13503" width="5.85546875" style="1" customWidth="1"/>
    <col min="13504" max="13504" width="36" style="1" customWidth="1"/>
    <col min="13505" max="13505" width="9.7109375" style="1" customWidth="1"/>
    <col min="13506" max="13506" width="11.85546875" style="1" customWidth="1"/>
    <col min="13507" max="13507" width="9" style="1" customWidth="1"/>
    <col min="13508" max="13508" width="9.7109375" style="1" customWidth="1"/>
    <col min="13509" max="13509" width="9.28515625" style="1" customWidth="1"/>
    <col min="13510" max="13510" width="8.7109375" style="1" customWidth="1"/>
    <col min="13511" max="13511" width="6.85546875" style="1" customWidth="1"/>
    <col min="13512" max="13756" width="9.140625" style="1" customWidth="1"/>
    <col min="13757" max="13757" width="3.7109375" style="1"/>
    <col min="13758" max="13758" width="4.5703125" style="1" customWidth="1"/>
    <col min="13759" max="13759" width="5.85546875" style="1" customWidth="1"/>
    <col min="13760" max="13760" width="36" style="1" customWidth="1"/>
    <col min="13761" max="13761" width="9.7109375" style="1" customWidth="1"/>
    <col min="13762" max="13762" width="11.85546875" style="1" customWidth="1"/>
    <col min="13763" max="13763" width="9" style="1" customWidth="1"/>
    <col min="13764" max="13764" width="9.7109375" style="1" customWidth="1"/>
    <col min="13765" max="13765" width="9.28515625" style="1" customWidth="1"/>
    <col min="13766" max="13766" width="8.7109375" style="1" customWidth="1"/>
    <col min="13767" max="13767" width="6.85546875" style="1" customWidth="1"/>
    <col min="13768" max="14012" width="9.140625" style="1" customWidth="1"/>
    <col min="14013" max="14013" width="3.7109375" style="1"/>
    <col min="14014" max="14014" width="4.5703125" style="1" customWidth="1"/>
    <col min="14015" max="14015" width="5.85546875" style="1" customWidth="1"/>
    <col min="14016" max="14016" width="36" style="1" customWidth="1"/>
    <col min="14017" max="14017" width="9.7109375" style="1" customWidth="1"/>
    <col min="14018" max="14018" width="11.85546875" style="1" customWidth="1"/>
    <col min="14019" max="14019" width="9" style="1" customWidth="1"/>
    <col min="14020" max="14020" width="9.7109375" style="1" customWidth="1"/>
    <col min="14021" max="14021" width="9.28515625" style="1" customWidth="1"/>
    <col min="14022" max="14022" width="8.7109375" style="1" customWidth="1"/>
    <col min="14023" max="14023" width="6.85546875" style="1" customWidth="1"/>
    <col min="14024" max="14268" width="9.140625" style="1" customWidth="1"/>
    <col min="14269" max="14269" width="3.7109375" style="1"/>
    <col min="14270" max="14270" width="4.5703125" style="1" customWidth="1"/>
    <col min="14271" max="14271" width="5.85546875" style="1" customWidth="1"/>
    <col min="14272" max="14272" width="36" style="1" customWidth="1"/>
    <col min="14273" max="14273" width="9.7109375" style="1" customWidth="1"/>
    <col min="14274" max="14274" width="11.85546875" style="1" customWidth="1"/>
    <col min="14275" max="14275" width="9" style="1" customWidth="1"/>
    <col min="14276" max="14276" width="9.7109375" style="1" customWidth="1"/>
    <col min="14277" max="14277" width="9.28515625" style="1" customWidth="1"/>
    <col min="14278" max="14278" width="8.7109375" style="1" customWidth="1"/>
    <col min="14279" max="14279" width="6.85546875" style="1" customWidth="1"/>
    <col min="14280" max="14524" width="9.140625" style="1" customWidth="1"/>
    <col min="14525" max="14525" width="3.7109375" style="1"/>
    <col min="14526" max="14526" width="4.5703125" style="1" customWidth="1"/>
    <col min="14527" max="14527" width="5.85546875" style="1" customWidth="1"/>
    <col min="14528" max="14528" width="36" style="1" customWidth="1"/>
    <col min="14529" max="14529" width="9.7109375" style="1" customWidth="1"/>
    <col min="14530" max="14530" width="11.85546875" style="1" customWidth="1"/>
    <col min="14531" max="14531" width="9" style="1" customWidth="1"/>
    <col min="14532" max="14532" width="9.7109375" style="1" customWidth="1"/>
    <col min="14533" max="14533" width="9.28515625" style="1" customWidth="1"/>
    <col min="14534" max="14534" width="8.7109375" style="1" customWidth="1"/>
    <col min="14535" max="14535" width="6.85546875" style="1" customWidth="1"/>
    <col min="14536" max="14780" width="9.140625" style="1" customWidth="1"/>
    <col min="14781" max="14781" width="3.7109375" style="1"/>
    <col min="14782" max="14782" width="4.5703125" style="1" customWidth="1"/>
    <col min="14783" max="14783" width="5.85546875" style="1" customWidth="1"/>
    <col min="14784" max="14784" width="36" style="1" customWidth="1"/>
    <col min="14785" max="14785" width="9.7109375" style="1" customWidth="1"/>
    <col min="14786" max="14786" width="11.85546875" style="1" customWidth="1"/>
    <col min="14787" max="14787" width="9" style="1" customWidth="1"/>
    <col min="14788" max="14788" width="9.7109375" style="1" customWidth="1"/>
    <col min="14789" max="14789" width="9.28515625" style="1" customWidth="1"/>
    <col min="14790" max="14790" width="8.7109375" style="1" customWidth="1"/>
    <col min="14791" max="14791" width="6.85546875" style="1" customWidth="1"/>
    <col min="14792" max="15036" width="9.140625" style="1" customWidth="1"/>
    <col min="15037" max="15037" width="3.7109375" style="1"/>
    <col min="15038" max="15038" width="4.5703125" style="1" customWidth="1"/>
    <col min="15039" max="15039" width="5.85546875" style="1" customWidth="1"/>
    <col min="15040" max="15040" width="36" style="1" customWidth="1"/>
    <col min="15041" max="15041" width="9.7109375" style="1" customWidth="1"/>
    <col min="15042" max="15042" width="11.85546875" style="1" customWidth="1"/>
    <col min="15043" max="15043" width="9" style="1" customWidth="1"/>
    <col min="15044" max="15044" width="9.7109375" style="1" customWidth="1"/>
    <col min="15045" max="15045" width="9.28515625" style="1" customWidth="1"/>
    <col min="15046" max="15046" width="8.7109375" style="1" customWidth="1"/>
    <col min="15047" max="15047" width="6.85546875" style="1" customWidth="1"/>
    <col min="15048" max="15292" width="9.140625" style="1" customWidth="1"/>
    <col min="15293" max="15293" width="3.7109375" style="1"/>
    <col min="15294" max="15294" width="4.5703125" style="1" customWidth="1"/>
    <col min="15295" max="15295" width="5.85546875" style="1" customWidth="1"/>
    <col min="15296" max="15296" width="36" style="1" customWidth="1"/>
    <col min="15297" max="15297" width="9.7109375" style="1" customWidth="1"/>
    <col min="15298" max="15298" width="11.85546875" style="1" customWidth="1"/>
    <col min="15299" max="15299" width="9" style="1" customWidth="1"/>
    <col min="15300" max="15300" width="9.7109375" style="1" customWidth="1"/>
    <col min="15301" max="15301" width="9.28515625" style="1" customWidth="1"/>
    <col min="15302" max="15302" width="8.7109375" style="1" customWidth="1"/>
    <col min="15303" max="15303" width="6.85546875" style="1" customWidth="1"/>
    <col min="15304" max="15548" width="9.140625" style="1" customWidth="1"/>
    <col min="15549" max="15549" width="3.7109375" style="1"/>
    <col min="15550" max="15550" width="4.5703125" style="1" customWidth="1"/>
    <col min="15551" max="15551" width="5.85546875" style="1" customWidth="1"/>
    <col min="15552" max="15552" width="36" style="1" customWidth="1"/>
    <col min="15553" max="15553" width="9.7109375" style="1" customWidth="1"/>
    <col min="15554" max="15554" width="11.85546875" style="1" customWidth="1"/>
    <col min="15555" max="15555" width="9" style="1" customWidth="1"/>
    <col min="15556" max="15556" width="9.7109375" style="1" customWidth="1"/>
    <col min="15557" max="15557" width="9.28515625" style="1" customWidth="1"/>
    <col min="15558" max="15558" width="8.7109375" style="1" customWidth="1"/>
    <col min="15559" max="15559" width="6.85546875" style="1" customWidth="1"/>
    <col min="15560" max="15804" width="9.140625" style="1" customWidth="1"/>
    <col min="15805" max="15805" width="3.7109375" style="1"/>
    <col min="15806" max="15806" width="4.5703125" style="1" customWidth="1"/>
    <col min="15807" max="15807" width="5.85546875" style="1" customWidth="1"/>
    <col min="15808" max="15808" width="36" style="1" customWidth="1"/>
    <col min="15809" max="15809" width="9.7109375" style="1" customWidth="1"/>
    <col min="15810" max="15810" width="11.85546875" style="1" customWidth="1"/>
    <col min="15811" max="15811" width="9" style="1" customWidth="1"/>
    <col min="15812" max="15812" width="9.7109375" style="1" customWidth="1"/>
    <col min="15813" max="15813" width="9.28515625" style="1" customWidth="1"/>
    <col min="15814" max="15814" width="8.7109375" style="1" customWidth="1"/>
    <col min="15815" max="15815" width="6.85546875" style="1" customWidth="1"/>
    <col min="15816" max="16060" width="9.140625" style="1" customWidth="1"/>
    <col min="16061" max="16061" width="3.7109375" style="1"/>
    <col min="16062" max="16062" width="4.5703125" style="1" customWidth="1"/>
    <col min="16063" max="16063" width="5.85546875" style="1" customWidth="1"/>
    <col min="16064" max="16064" width="36" style="1" customWidth="1"/>
    <col min="16065" max="16065" width="9.7109375" style="1" customWidth="1"/>
    <col min="16066" max="16066" width="11.85546875" style="1" customWidth="1"/>
    <col min="16067" max="16067" width="9" style="1" customWidth="1"/>
    <col min="16068" max="16068" width="9.7109375" style="1" customWidth="1"/>
    <col min="16069" max="16069" width="9.28515625" style="1" customWidth="1"/>
    <col min="16070" max="16070" width="8.7109375" style="1" customWidth="1"/>
    <col min="16071" max="16071" width="6.85546875" style="1" customWidth="1"/>
    <col min="16072" max="16316" width="9.140625" style="1" customWidth="1"/>
    <col min="16317" max="16384" width="3.7109375" style="1"/>
  </cols>
  <sheetData>
    <row r="1" spans="1:9" x14ac:dyDescent="0.2">
      <c r="C1" s="85"/>
      <c r="G1" s="293"/>
      <c r="H1" s="293"/>
      <c r="I1" s="293"/>
    </row>
    <row r="2" spans="1:9" x14ac:dyDescent="0.2">
      <c r="A2" s="334" t="s">
        <v>16</v>
      </c>
      <c r="B2" s="334"/>
      <c r="C2" s="334"/>
      <c r="D2" s="334"/>
      <c r="E2" s="334"/>
      <c r="F2" s="334"/>
      <c r="G2" s="334"/>
      <c r="H2" s="334"/>
      <c r="I2" s="334"/>
    </row>
    <row r="3" spans="1:9" x14ac:dyDescent="0.2">
      <c r="A3" s="86"/>
      <c r="B3" s="86"/>
      <c r="C3" s="86"/>
      <c r="D3" s="86"/>
      <c r="E3" s="86"/>
      <c r="F3" s="86"/>
      <c r="G3" s="86"/>
      <c r="H3" s="86"/>
      <c r="I3" s="86"/>
    </row>
    <row r="4" spans="1:9" x14ac:dyDescent="0.2">
      <c r="A4" s="86"/>
      <c r="B4" s="86"/>
      <c r="C4" s="335" t="s">
        <v>17</v>
      </c>
      <c r="D4" s="335"/>
      <c r="E4" s="335"/>
      <c r="F4" s="335"/>
      <c r="G4" s="335"/>
      <c r="H4" s="335"/>
      <c r="I4" s="335"/>
    </row>
    <row r="5" spans="1:9" x14ac:dyDescent="0.2">
      <c r="A5" s="34"/>
      <c r="B5" s="34"/>
      <c r="C5" s="337" t="s">
        <v>52</v>
      </c>
      <c r="D5" s="337"/>
      <c r="E5" s="337"/>
      <c r="F5" s="337"/>
      <c r="G5" s="337"/>
      <c r="H5" s="337"/>
      <c r="I5" s="337"/>
    </row>
    <row r="6" spans="1:9" x14ac:dyDescent="0.2">
      <c r="A6" s="333" t="s">
        <v>18</v>
      </c>
      <c r="B6" s="333"/>
      <c r="C6" s="333"/>
      <c r="D6" s="336" t="str">
        <f>'Kopt a'!B13</f>
        <v>Dzīvojamās ēkas vienkāršotā atjaunošana</v>
      </c>
      <c r="E6" s="336"/>
      <c r="F6" s="336"/>
      <c r="G6" s="336"/>
      <c r="H6" s="336"/>
      <c r="I6" s="336"/>
    </row>
    <row r="7" spans="1:9" x14ac:dyDescent="0.2">
      <c r="A7" s="333" t="s">
        <v>6</v>
      </c>
      <c r="B7" s="333"/>
      <c r="C7" s="333"/>
      <c r="D7" s="327" t="str">
        <f>'Kopt a'!B14</f>
        <v>Daudzdzīvokļu dzīvojamās ēkas energoefektivitātes paaugstināšanas pasākumi</v>
      </c>
      <c r="E7" s="327"/>
      <c r="F7" s="327"/>
      <c r="G7" s="327"/>
      <c r="H7" s="327"/>
      <c r="I7" s="327"/>
    </row>
    <row r="8" spans="1:9" x14ac:dyDescent="0.2">
      <c r="A8" s="326" t="s">
        <v>19</v>
      </c>
      <c r="B8" s="326"/>
      <c r="C8" s="326"/>
      <c r="D8" s="327" t="str">
        <f>'Kopt a'!B15</f>
        <v>Dzērves iela 23, Liepāja</v>
      </c>
      <c r="E8" s="327"/>
      <c r="F8" s="327"/>
      <c r="G8" s="327"/>
      <c r="H8" s="327"/>
      <c r="I8" s="327"/>
    </row>
    <row r="9" spans="1:9" x14ac:dyDescent="0.2">
      <c r="A9" s="326" t="s">
        <v>20</v>
      </c>
      <c r="B9" s="326"/>
      <c r="C9" s="326"/>
      <c r="D9" s="327" t="str">
        <f>'Kopt a'!B16</f>
        <v>EA-14-17/WOOS</v>
      </c>
      <c r="E9" s="327"/>
      <c r="F9" s="327"/>
      <c r="G9" s="327"/>
      <c r="H9" s="327"/>
      <c r="I9" s="327"/>
    </row>
    <row r="10" spans="1:9" x14ac:dyDescent="0.2">
      <c r="C10" s="85" t="s">
        <v>21</v>
      </c>
      <c r="D10" s="328">
        <f>E29</f>
        <v>0</v>
      </c>
      <c r="E10" s="328"/>
      <c r="F10" s="32"/>
      <c r="G10" s="32"/>
      <c r="H10" s="32"/>
      <c r="I10" s="32"/>
    </row>
    <row r="11" spans="1:9" x14ac:dyDescent="0.2">
      <c r="C11" s="85" t="s">
        <v>22</v>
      </c>
      <c r="D11" s="328">
        <f>I25</f>
        <v>0</v>
      </c>
      <c r="E11" s="328"/>
      <c r="F11" s="32"/>
      <c r="G11" s="32"/>
      <c r="H11" s="32"/>
      <c r="I11" s="32"/>
    </row>
    <row r="12" spans="1:9" ht="12" thickBot="1" x14ac:dyDescent="0.25">
      <c r="F12" s="87"/>
      <c r="G12" s="87"/>
      <c r="H12" s="87"/>
      <c r="I12" s="87"/>
    </row>
    <row r="13" spans="1:9" x14ac:dyDescent="0.2">
      <c r="A13" s="329" t="s">
        <v>23</v>
      </c>
      <c r="B13" s="331" t="s">
        <v>24</v>
      </c>
      <c r="C13" s="316" t="s">
        <v>25</v>
      </c>
      <c r="D13" s="317"/>
      <c r="E13" s="320" t="s">
        <v>26</v>
      </c>
      <c r="F13" s="314" t="s">
        <v>27</v>
      </c>
      <c r="G13" s="315"/>
      <c r="H13" s="315"/>
      <c r="I13" s="324" t="s">
        <v>28</v>
      </c>
    </row>
    <row r="14" spans="1:9" ht="23.25" thickBot="1" x14ac:dyDescent="0.25">
      <c r="A14" s="330"/>
      <c r="B14" s="332"/>
      <c r="C14" s="318"/>
      <c r="D14" s="319"/>
      <c r="E14" s="321"/>
      <c r="F14" s="13" t="s">
        <v>29</v>
      </c>
      <c r="G14" s="14" t="s">
        <v>30</v>
      </c>
      <c r="H14" s="14" t="s">
        <v>31</v>
      </c>
      <c r="I14" s="325"/>
    </row>
    <row r="15" spans="1:9" x14ac:dyDescent="0.2">
      <c r="A15" s="27">
        <v>1</v>
      </c>
      <c r="B15" s="17" t="str">
        <f>IF(A15=0,0,CONCATENATE("Lt-",A15))</f>
        <v>Lt-1</v>
      </c>
      <c r="C15" s="322" t="str">
        <f>'1a'!C2:I2</f>
        <v>Fasādes atjaunošana</v>
      </c>
      <c r="D15" s="323"/>
      <c r="E15" s="156">
        <f>'1a'!P79</f>
        <v>0</v>
      </c>
      <c r="F15" s="22">
        <f>'1a'!M79</f>
        <v>0</v>
      </c>
      <c r="G15" s="22">
        <f>'1a'!N79</f>
        <v>0</v>
      </c>
      <c r="H15" s="22">
        <f>'1a'!O79</f>
        <v>0</v>
      </c>
      <c r="I15" s="22">
        <f>'1a'!L79</f>
        <v>0</v>
      </c>
    </row>
    <row r="16" spans="1:9" x14ac:dyDescent="0.2">
      <c r="A16" s="28">
        <f>A15+1</f>
        <v>2</v>
      </c>
      <c r="B16" s="18" t="str">
        <f>IF(A16=0,0,CONCATENATE("Lt-",A16))</f>
        <v>Lt-2</v>
      </c>
      <c r="C16" s="312" t="str">
        <f>'2a'!C2:I2</f>
        <v>Logu nomaiņa</v>
      </c>
      <c r="D16" s="313"/>
      <c r="E16" s="157">
        <f>'2a'!P62</f>
        <v>0</v>
      </c>
      <c r="F16" s="54">
        <f>'2a'!M62</f>
        <v>0</v>
      </c>
      <c r="G16" s="54">
        <f>'2a'!N62</f>
        <v>0</v>
      </c>
      <c r="H16" s="54">
        <f>'2a'!O62</f>
        <v>0</v>
      </c>
      <c r="I16" s="23">
        <f>'2a'!L62</f>
        <v>0</v>
      </c>
    </row>
    <row r="17" spans="1:9" x14ac:dyDescent="0.2">
      <c r="A17" s="28">
        <f t="shared" ref="A17:A23" si="0">A16+1</f>
        <v>3</v>
      </c>
      <c r="B17" s="18" t="str">
        <f t="shared" ref="B17:B19" si="1">IF(A17=0,0,CONCATENATE("Lt-",A17))</f>
        <v>Lt-3</v>
      </c>
      <c r="C17" s="312" t="str">
        <f>'3a'!C2:I2</f>
        <v>Pagraba siltināšana</v>
      </c>
      <c r="D17" s="313"/>
      <c r="E17" s="154">
        <f>'3a'!P25</f>
        <v>0</v>
      </c>
      <c r="F17" s="54">
        <f>'3a'!M25</f>
        <v>0</v>
      </c>
      <c r="G17" s="54">
        <f>'3a'!N25</f>
        <v>0</v>
      </c>
      <c r="H17" s="54">
        <f>'3a'!O25</f>
        <v>0</v>
      </c>
      <c r="I17" s="23">
        <f>'3a'!L25</f>
        <v>0</v>
      </c>
    </row>
    <row r="18" spans="1:9" x14ac:dyDescent="0.2">
      <c r="A18" s="28">
        <f t="shared" si="0"/>
        <v>4</v>
      </c>
      <c r="B18" s="18" t="str">
        <f t="shared" si="1"/>
        <v>Lt-4</v>
      </c>
      <c r="C18" s="312" t="str">
        <f>'4a'!C2:I2</f>
        <v>Cokola siltināšana</v>
      </c>
      <c r="D18" s="313"/>
      <c r="E18" s="154">
        <f>'4a'!P59</f>
        <v>0</v>
      </c>
      <c r="F18" s="54">
        <f>'4a'!M59</f>
        <v>0</v>
      </c>
      <c r="G18" s="54">
        <f>'4a'!N59</f>
        <v>0</v>
      </c>
      <c r="H18" s="54">
        <f>'4a'!O59</f>
        <v>0</v>
      </c>
      <c r="I18" s="23">
        <f>'4a'!L59</f>
        <v>0</v>
      </c>
    </row>
    <row r="19" spans="1:9" x14ac:dyDescent="0.2">
      <c r="A19" s="28">
        <f t="shared" si="0"/>
        <v>5</v>
      </c>
      <c r="B19" s="18" t="str">
        <f t="shared" si="1"/>
        <v>Lt-5</v>
      </c>
      <c r="C19" s="312" t="str">
        <f>'5a'!C2:I2</f>
        <v>Materiāli un veicamo darbu apjomi lodžiju paneļu virsmas un margu detaļu atjaunošanai</v>
      </c>
      <c r="D19" s="313"/>
      <c r="E19" s="154">
        <f>'5a'!P30</f>
        <v>0</v>
      </c>
      <c r="F19" s="54">
        <f>'5a'!M30</f>
        <v>0</v>
      </c>
      <c r="G19" s="54">
        <f>'5a'!N30</f>
        <v>0</v>
      </c>
      <c r="H19" s="54">
        <f>'5a'!O30</f>
        <v>0</v>
      </c>
      <c r="I19" s="23">
        <f>'5a'!L30</f>
        <v>0</v>
      </c>
    </row>
    <row r="20" spans="1:9" x14ac:dyDescent="0.2">
      <c r="A20" s="28">
        <f t="shared" si="0"/>
        <v>6</v>
      </c>
      <c r="B20" s="18" t="str">
        <f t="shared" ref="B20:B22" si="2">IF(A20=0,0,CONCATENATE("Lt-",A20))</f>
        <v>Lt-6</v>
      </c>
      <c r="C20" s="312" t="str">
        <f>'6a'!C2:I2</f>
        <v>Bēniņu pārseguma siltināšana, siltinājumu salaidums bēniņu zonā, virsjumta  izvadu atjaunošana</v>
      </c>
      <c r="D20" s="313"/>
      <c r="E20" s="154">
        <f>'6a'!P63</f>
        <v>0</v>
      </c>
      <c r="F20" s="54">
        <f>'6a'!M63</f>
        <v>0</v>
      </c>
      <c r="G20" s="54">
        <f>'6a'!N63</f>
        <v>0</v>
      </c>
      <c r="H20" s="54">
        <f>'6a'!O63</f>
        <v>0</v>
      </c>
      <c r="I20" s="23">
        <f>'6a'!L63</f>
        <v>0</v>
      </c>
    </row>
    <row r="21" spans="1:9" x14ac:dyDescent="0.2">
      <c r="A21" s="28">
        <f t="shared" si="0"/>
        <v>7</v>
      </c>
      <c r="B21" s="18" t="str">
        <f t="shared" si="2"/>
        <v>Lt-7</v>
      </c>
      <c r="C21" s="312" t="str">
        <f>'7a'!C2:I2</f>
        <v>Veicamie darbi lodžiju jumtu atjaunošanai, jumtiņu siltināšana virs 5.stāva dzīvokļiem izvirzījuma zonā</v>
      </c>
      <c r="D21" s="313"/>
      <c r="E21" s="155">
        <f>'7a'!P63</f>
        <v>0</v>
      </c>
      <c r="F21" s="53">
        <f>'7a'!M63</f>
        <v>0</v>
      </c>
      <c r="G21" s="53">
        <f>'7a'!N63</f>
        <v>0</v>
      </c>
      <c r="H21" s="53">
        <f>'7a'!O63</f>
        <v>0</v>
      </c>
      <c r="I21" s="23">
        <f>'7a'!L63</f>
        <v>0</v>
      </c>
    </row>
    <row r="22" spans="1:9" x14ac:dyDescent="0.2">
      <c r="A22" s="28">
        <f t="shared" si="0"/>
        <v>8</v>
      </c>
      <c r="B22" s="18" t="str">
        <f t="shared" si="2"/>
        <v>Lt-8</v>
      </c>
      <c r="C22" s="312" t="str">
        <f>'8a'!C2:I2</f>
        <v>Pagalma puses ārējo ieeju jumtu atjaunošana un citi darbi ieejas mezgliem.</v>
      </c>
      <c r="D22" s="313"/>
      <c r="E22" s="155">
        <f>'8a'!P83</f>
        <v>0</v>
      </c>
      <c r="F22" s="53">
        <f>'8a'!M83</f>
        <v>0</v>
      </c>
      <c r="G22" s="53">
        <f>'8a'!N83</f>
        <v>0</v>
      </c>
      <c r="H22" s="53">
        <f>'8a'!O83</f>
        <v>0</v>
      </c>
      <c r="I22" s="23">
        <f>'8a'!L83</f>
        <v>0</v>
      </c>
    </row>
    <row r="23" spans="1:9" x14ac:dyDescent="0.2">
      <c r="A23" s="28">
        <f t="shared" si="0"/>
        <v>9</v>
      </c>
      <c r="B23" s="18" t="str">
        <f t="shared" ref="B23" si="3">IF(A23=0,0,CONCATENATE("Lt-",A23))</f>
        <v>Lt-9</v>
      </c>
      <c r="C23" s="312" t="str">
        <f>'9a'!C2:I2</f>
        <v>Jumtu atjaunošana.</v>
      </c>
      <c r="D23" s="313"/>
      <c r="E23" s="155">
        <f>'9a'!P68</f>
        <v>0</v>
      </c>
      <c r="F23" s="53">
        <f>'9a'!M68</f>
        <v>0</v>
      </c>
      <c r="G23" s="53">
        <f>'9a'!N68</f>
        <v>0</v>
      </c>
      <c r="H23" s="53">
        <f>'9a'!O68</f>
        <v>0</v>
      </c>
      <c r="I23" s="23">
        <f>'9a'!L68</f>
        <v>0</v>
      </c>
    </row>
    <row r="24" spans="1:9" x14ac:dyDescent="0.2">
      <c r="A24" s="28">
        <f>A23+1</f>
        <v>10</v>
      </c>
      <c r="B24" s="18" t="str">
        <f>IF(A24=0,0,CONCATENATE("Lt-",A24))</f>
        <v>Lt-10</v>
      </c>
      <c r="C24" s="312" t="str">
        <f>'10a'!C2:I2</f>
        <v>Apkures sistēmas atjaunošana</v>
      </c>
      <c r="D24" s="313"/>
      <c r="E24" s="155">
        <f>'10a'!P67</f>
        <v>0</v>
      </c>
      <c r="F24" s="53">
        <f>'10a'!M67</f>
        <v>0</v>
      </c>
      <c r="G24" s="53">
        <f>'10a'!N67</f>
        <v>0</v>
      </c>
      <c r="H24" s="53">
        <f>'10a'!O67</f>
        <v>0</v>
      </c>
      <c r="I24" s="23">
        <f>'10a'!L67</f>
        <v>0</v>
      </c>
    </row>
    <row r="25" spans="1:9" ht="12" thickBot="1" x14ac:dyDescent="0.25">
      <c r="A25" s="297" t="s">
        <v>32</v>
      </c>
      <c r="B25" s="298"/>
      <c r="C25" s="298"/>
      <c r="D25" s="299"/>
      <c r="E25" s="158">
        <f>SUM(E15:E24)</f>
        <v>0</v>
      </c>
      <c r="F25" s="40">
        <f>SUM(F15:F24)</f>
        <v>0</v>
      </c>
      <c r="G25" s="40">
        <f>SUM(G15:G24)</f>
        <v>0</v>
      </c>
      <c r="H25" s="40">
        <f>SUM(H15:H24)</f>
        <v>0</v>
      </c>
      <c r="I25" s="41">
        <f>SUM(I15:I24)</f>
        <v>0</v>
      </c>
    </row>
    <row r="26" spans="1:9" x14ac:dyDescent="0.2">
      <c r="A26" s="300" t="s">
        <v>33</v>
      </c>
      <c r="B26" s="301"/>
      <c r="C26" s="302"/>
      <c r="D26" s="24"/>
      <c r="E26" s="19">
        <f>ROUND(E25*$D26,2)</f>
        <v>0</v>
      </c>
      <c r="F26" s="20"/>
      <c r="G26" s="20"/>
      <c r="H26" s="20"/>
    </row>
    <row r="27" spans="1:9" x14ac:dyDescent="0.2">
      <c r="A27" s="303" t="s">
        <v>34</v>
      </c>
      <c r="B27" s="304"/>
      <c r="C27" s="305"/>
      <c r="D27" s="25"/>
      <c r="E27" s="21">
        <f>ROUND(E26*$D27,2)</f>
        <v>0</v>
      </c>
      <c r="F27" s="20"/>
      <c r="G27" s="20"/>
      <c r="H27" s="20"/>
    </row>
    <row r="28" spans="1:9" x14ac:dyDescent="0.2">
      <c r="A28" s="306" t="s">
        <v>35</v>
      </c>
      <c r="B28" s="307"/>
      <c r="C28" s="308"/>
      <c r="D28" s="26"/>
      <c r="E28" s="21">
        <f>ROUND(E25*$D28,2)</f>
        <v>0</v>
      </c>
      <c r="F28" s="20"/>
      <c r="G28" s="20"/>
      <c r="H28" s="20"/>
    </row>
    <row r="29" spans="1:9" ht="12" thickBot="1" x14ac:dyDescent="0.25">
      <c r="A29" s="309" t="s">
        <v>36</v>
      </c>
      <c r="B29" s="310"/>
      <c r="C29" s="311"/>
      <c r="D29" s="149"/>
      <c r="E29" s="150">
        <f>SUM(E25:E28)-E27</f>
        <v>0</v>
      </c>
      <c r="F29" s="20"/>
      <c r="G29" s="20"/>
      <c r="H29" s="20"/>
    </row>
    <row r="30" spans="1:9" ht="12" thickBot="1" x14ac:dyDescent="0.25">
      <c r="C30" s="89" t="s">
        <v>59</v>
      </c>
      <c r="D30" s="151">
        <v>0.02</v>
      </c>
      <c r="E30" s="148">
        <f>ROUND(E29*D30,2)</f>
        <v>0</v>
      </c>
      <c r="G30" s="15"/>
    </row>
    <row r="31" spans="1:9" ht="12" thickBot="1" x14ac:dyDescent="0.25">
      <c r="C31" s="89" t="s">
        <v>60</v>
      </c>
      <c r="D31" s="102"/>
      <c r="E31" s="152">
        <f>E30+E29</f>
        <v>0</v>
      </c>
      <c r="F31" s="16"/>
      <c r="G31" s="16"/>
      <c r="H31" s="16"/>
      <c r="I31" s="16"/>
    </row>
    <row r="34" spans="1:8" x14ac:dyDescent="0.2">
      <c r="A34" s="1" t="s">
        <v>14</v>
      </c>
      <c r="B34" s="12"/>
      <c r="C34" s="296"/>
      <c r="D34" s="296"/>
      <c r="E34" s="296"/>
      <c r="F34" s="296"/>
      <c r="G34" s="296"/>
      <c r="H34" s="296"/>
    </row>
    <row r="35" spans="1:8" x14ac:dyDescent="0.2">
      <c r="A35" s="12"/>
      <c r="B35" s="12"/>
      <c r="C35" s="291" t="s">
        <v>15</v>
      </c>
      <c r="D35" s="291"/>
      <c r="E35" s="291"/>
      <c r="F35" s="291"/>
      <c r="G35" s="291"/>
      <c r="H35" s="291"/>
    </row>
    <row r="36" spans="1:8" x14ac:dyDescent="0.2">
      <c r="A36" s="12"/>
      <c r="B36" s="12"/>
      <c r="C36" s="12"/>
      <c r="D36" s="12"/>
      <c r="E36" s="12"/>
      <c r="F36" s="12"/>
      <c r="G36" s="12"/>
      <c r="H36" s="12"/>
    </row>
    <row r="37" spans="1:8" x14ac:dyDescent="0.2">
      <c r="A37" s="35" t="str">
        <f>'Kopt a'!A30</f>
        <v>Tāme sastādīta 2021. gada</v>
      </c>
      <c r="B37" s="36"/>
      <c r="C37" s="36"/>
      <c r="D37" s="36"/>
      <c r="F37" s="12"/>
      <c r="G37" s="12"/>
      <c r="H37" s="12"/>
    </row>
    <row r="38" spans="1:8" x14ac:dyDescent="0.2">
      <c r="A38" s="12"/>
      <c r="B38" s="12"/>
      <c r="C38" s="12"/>
      <c r="D38" s="12"/>
      <c r="E38" s="12"/>
      <c r="F38" s="12"/>
      <c r="G38" s="12"/>
      <c r="H38" s="12"/>
    </row>
    <row r="39" spans="1:8" x14ac:dyDescent="0.2">
      <c r="A39" s="1" t="s">
        <v>37</v>
      </c>
      <c r="B39" s="12"/>
      <c r="C39" s="296"/>
      <c r="D39" s="296"/>
      <c r="E39" s="296"/>
      <c r="F39" s="296"/>
      <c r="G39" s="296"/>
      <c r="H39" s="296"/>
    </row>
    <row r="40" spans="1:8" x14ac:dyDescent="0.2">
      <c r="A40" s="12"/>
      <c r="B40" s="12"/>
      <c r="C40" s="291" t="s">
        <v>15</v>
      </c>
      <c r="D40" s="291"/>
      <c r="E40" s="291"/>
      <c r="F40" s="291"/>
      <c r="G40" s="291"/>
      <c r="H40" s="291"/>
    </row>
    <row r="41" spans="1:8" x14ac:dyDescent="0.2">
      <c r="A41" s="12"/>
      <c r="B41" s="12"/>
      <c r="C41" s="12"/>
      <c r="D41" s="12"/>
      <c r="E41" s="12"/>
      <c r="F41" s="12"/>
      <c r="G41" s="12"/>
      <c r="H41" s="12"/>
    </row>
    <row r="42" spans="1:8" x14ac:dyDescent="0.2">
      <c r="A42" s="35" t="s">
        <v>53</v>
      </c>
      <c r="B42" s="36"/>
      <c r="C42" s="37"/>
      <c r="D42" s="36"/>
      <c r="F42" s="12"/>
      <c r="G42" s="12"/>
      <c r="H42" s="12"/>
    </row>
    <row r="52" spans="5:9" x14ac:dyDescent="0.2">
      <c r="E52" s="15"/>
      <c r="F52" s="15"/>
      <c r="G52" s="15"/>
      <c r="H52" s="15"/>
      <c r="I52" s="15"/>
    </row>
  </sheetData>
  <mergeCells count="39">
    <mergeCell ref="A7:C7"/>
    <mergeCell ref="D7:I7"/>
    <mergeCell ref="G1:I1"/>
    <mergeCell ref="A2:I2"/>
    <mergeCell ref="C4:I4"/>
    <mergeCell ref="A6:C6"/>
    <mergeCell ref="D6:I6"/>
    <mergeCell ref="C5:I5"/>
    <mergeCell ref="I13:I14"/>
    <mergeCell ref="A8:C8"/>
    <mergeCell ref="D8:I8"/>
    <mergeCell ref="A9:C9"/>
    <mergeCell ref="D9:I9"/>
    <mergeCell ref="D10:E10"/>
    <mergeCell ref="D11:E11"/>
    <mergeCell ref="A13:A14"/>
    <mergeCell ref="B13:B14"/>
    <mergeCell ref="C22:D22"/>
    <mergeCell ref="C24:D24"/>
    <mergeCell ref="F13:H13"/>
    <mergeCell ref="C16:D16"/>
    <mergeCell ref="C17:D17"/>
    <mergeCell ref="C18:D18"/>
    <mergeCell ref="C19:D19"/>
    <mergeCell ref="C21:D21"/>
    <mergeCell ref="C13:D14"/>
    <mergeCell ref="E13:E14"/>
    <mergeCell ref="C15:D15"/>
    <mergeCell ref="C20:D20"/>
    <mergeCell ref="C23:D23"/>
    <mergeCell ref="C34:H34"/>
    <mergeCell ref="C35:H35"/>
    <mergeCell ref="C39:H39"/>
    <mergeCell ref="C40:H40"/>
    <mergeCell ref="A25:D25"/>
    <mergeCell ref="A26:C26"/>
    <mergeCell ref="A27:C27"/>
    <mergeCell ref="A28:C28"/>
    <mergeCell ref="A29:C29"/>
  </mergeCells>
  <conditionalFormatting sqref="A15:D19 A20:C20 E15:I25 A21:D24">
    <cfRule type="cellIs" dxfId="207" priority="19" operator="equal">
      <formula>0</formula>
    </cfRule>
  </conditionalFormatting>
  <conditionalFormatting sqref="D10:E11">
    <cfRule type="cellIs" dxfId="206" priority="18" operator="equal">
      <formula>0</formula>
    </cfRule>
  </conditionalFormatting>
  <conditionalFormatting sqref="E15 E26:E29">
    <cfRule type="cellIs" dxfId="205" priority="16" operator="equal">
      <formula>0</formula>
    </cfRule>
  </conditionalFormatting>
  <conditionalFormatting sqref="D26:D28">
    <cfRule type="cellIs" dxfId="204" priority="14" operator="equal">
      <formula>0</formula>
    </cfRule>
  </conditionalFormatting>
  <conditionalFormatting sqref="C39:H39">
    <cfRule type="cellIs" dxfId="203" priority="11" operator="equal">
      <formula>0</formula>
    </cfRule>
  </conditionalFormatting>
  <conditionalFormatting sqref="C34:H34">
    <cfRule type="cellIs" dxfId="202" priority="10" operator="equal">
      <formula>0</formula>
    </cfRule>
  </conditionalFormatting>
  <conditionalFormatting sqref="D6:I9">
    <cfRule type="cellIs" dxfId="201" priority="6" operator="equal">
      <formula>0</formula>
    </cfRule>
  </conditionalFormatting>
  <conditionalFormatting sqref="C42">
    <cfRule type="cellIs" dxfId="200" priority="4" operator="equal">
      <formula>0</formula>
    </cfRule>
  </conditionalFormatting>
  <pageMargins left="0.7" right="0.7" top="0.75" bottom="0.75" header="0.3" footer="0.3"/>
  <pageSetup paperSize="9" fitToHeight="0" orientation="landscape" r:id="rId1"/>
  <headerFooter>
    <oddFooter>&amp;R&amp;P</oddFooter>
  </headerFooter>
  <legacyDrawing r:id="rId2"/>
  <extLst>
    <ext xmlns:x14="http://schemas.microsoft.com/office/spreadsheetml/2009/9/main" uri="{78C0D931-6437-407d-A8EE-F0AAD7539E65}">
      <x14:conditionalFormattings>
        <x14:conditionalFormatting xmlns:xm="http://schemas.microsoft.com/office/excel/2006/main">
          <x14:cfRule type="containsText" priority="13" operator="containsText" id="{12AB918F-DA10-40D3-98FE-0DAD77BA765F}">
            <xm:f>NOT(ISERROR(SEARCH("Tāme sastādīta ____. gada ___. ______________",A37)))</xm:f>
            <xm:f>"Tāme sastādīta ____. gada ___. ______________"</xm:f>
            <x14:dxf>
              <font>
                <color auto="1"/>
              </font>
              <fill>
                <patternFill>
                  <bgColor rgb="FFC6EFCE"/>
                </patternFill>
              </fill>
            </x14:dxf>
          </x14:cfRule>
          <xm:sqref>A37</xm:sqref>
        </x14:conditionalFormatting>
        <x14:conditionalFormatting xmlns:xm="http://schemas.microsoft.com/office/excel/2006/main">
          <x14:cfRule type="containsText" priority="9" operator="containsText" id="{B0E18B02-73ED-406C-A15F-5DAFFA939ECE}">
            <xm:f>NOT(ISERROR(SEARCH("Sertifikāta Nr. _________________________________",A42)))</xm:f>
            <xm:f>"Sertifikāta Nr. _________________________________"</xm:f>
            <x14:dxf>
              <font>
                <color auto="1"/>
              </font>
              <fill>
                <patternFill>
                  <bgColor rgb="FFC6EFCE"/>
                </patternFill>
              </fill>
            </x14:dxf>
          </x14:cfRule>
          <xm:sqref>A42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5757"/>
    <pageSetUpPr fitToPage="1"/>
  </sheetPr>
  <dimension ref="A1:Q94"/>
  <sheetViews>
    <sheetView view="pageBreakPreview" topLeftCell="A64" zoomScale="115" zoomScaleNormal="100" zoomScaleSheetLayoutView="115" workbookViewId="0">
      <selection activeCell="C37" sqref="C37"/>
    </sheetView>
  </sheetViews>
  <sheetFormatPr defaultColWidth="9.140625" defaultRowHeight="11.25" x14ac:dyDescent="0.2"/>
  <cols>
    <col min="1" max="1" width="4.5703125" style="174" customWidth="1"/>
    <col min="2" max="2" width="11.42578125" style="174" customWidth="1"/>
    <col min="3" max="3" width="38.42578125" style="174" customWidth="1"/>
    <col min="4" max="4" width="5.85546875" style="174" customWidth="1"/>
    <col min="5" max="5" width="8.7109375" style="174" customWidth="1"/>
    <col min="6" max="6" width="5.42578125" style="174" customWidth="1"/>
    <col min="7" max="7" width="4.85546875" style="174" customWidth="1"/>
    <col min="8" max="10" width="6.7109375" style="174" customWidth="1"/>
    <col min="11" max="11" width="7" style="174" customWidth="1"/>
    <col min="12" max="15" width="7.7109375" style="174" customWidth="1"/>
    <col min="16" max="16" width="9" style="174" customWidth="1"/>
    <col min="17" max="16384" width="9.140625" style="174"/>
  </cols>
  <sheetData>
    <row r="1" spans="1:17" x14ac:dyDescent="0.2">
      <c r="A1" s="167"/>
      <c r="B1" s="167"/>
      <c r="C1" s="194" t="s">
        <v>38</v>
      </c>
      <c r="D1" s="195">
        <f>'Kops a'!A15</f>
        <v>1</v>
      </c>
      <c r="E1" s="167"/>
      <c r="F1" s="167"/>
      <c r="G1" s="167"/>
      <c r="H1" s="167"/>
      <c r="I1" s="167"/>
      <c r="J1" s="167"/>
      <c r="N1" s="196"/>
      <c r="O1" s="194"/>
      <c r="P1" s="197"/>
    </row>
    <row r="2" spans="1:17" x14ac:dyDescent="0.2">
      <c r="A2" s="198"/>
      <c r="B2" s="198"/>
      <c r="C2" s="338" t="s">
        <v>66</v>
      </c>
      <c r="D2" s="338"/>
      <c r="E2" s="338"/>
      <c r="F2" s="338"/>
      <c r="G2" s="338"/>
      <c r="H2" s="338"/>
      <c r="I2" s="338"/>
      <c r="J2" s="198"/>
    </row>
    <row r="3" spans="1:17" x14ac:dyDescent="0.2">
      <c r="A3" s="199"/>
      <c r="B3" s="199"/>
      <c r="C3" s="339" t="s">
        <v>17</v>
      </c>
      <c r="D3" s="339"/>
      <c r="E3" s="339"/>
      <c r="F3" s="339"/>
      <c r="G3" s="339"/>
      <c r="H3" s="339"/>
      <c r="I3" s="339"/>
      <c r="J3" s="199"/>
    </row>
    <row r="4" spans="1:17" x14ac:dyDescent="0.2">
      <c r="A4" s="199"/>
      <c r="B4" s="199"/>
      <c r="C4" s="340" t="s">
        <v>52</v>
      </c>
      <c r="D4" s="340"/>
      <c r="E4" s="340"/>
      <c r="F4" s="340"/>
      <c r="G4" s="340"/>
      <c r="H4" s="340"/>
      <c r="I4" s="340"/>
      <c r="J4" s="199"/>
    </row>
    <row r="5" spans="1:17" x14ac:dyDescent="0.2">
      <c r="A5" s="167"/>
      <c r="B5" s="167"/>
      <c r="C5" s="194" t="s">
        <v>5</v>
      </c>
      <c r="D5" s="354" t="str">
        <f>'Kops a'!D6</f>
        <v>Dzīvojamās ēkas vienkāršotā atjaunošana</v>
      </c>
      <c r="E5" s="354"/>
      <c r="F5" s="354"/>
      <c r="G5" s="354"/>
      <c r="H5" s="354"/>
      <c r="I5" s="354"/>
      <c r="J5" s="354"/>
      <c r="K5" s="354"/>
      <c r="L5" s="354"/>
      <c r="M5" s="173"/>
      <c r="N5" s="173"/>
      <c r="O5" s="173"/>
      <c r="P5" s="173"/>
    </row>
    <row r="6" spans="1:17" x14ac:dyDescent="0.2">
      <c r="A6" s="167"/>
      <c r="B6" s="167"/>
      <c r="C6" s="194" t="s">
        <v>6</v>
      </c>
      <c r="D6" s="354" t="str">
        <f>'Kops a'!D7</f>
        <v>Daudzdzīvokļu dzīvojamās ēkas energoefektivitātes paaugstināšanas pasākumi</v>
      </c>
      <c r="E6" s="354"/>
      <c r="F6" s="354"/>
      <c r="G6" s="354"/>
      <c r="H6" s="354"/>
      <c r="I6" s="354"/>
      <c r="J6" s="354"/>
      <c r="K6" s="354"/>
      <c r="L6" s="354"/>
      <c r="M6" s="173"/>
      <c r="N6" s="173"/>
      <c r="O6" s="173"/>
      <c r="P6" s="173"/>
    </row>
    <row r="7" spans="1:17" x14ac:dyDescent="0.2">
      <c r="A7" s="167"/>
      <c r="B7" s="167"/>
      <c r="C7" s="194" t="s">
        <v>7</v>
      </c>
      <c r="D7" s="354" t="str">
        <f>'Kops a'!D8</f>
        <v>Dzērves iela 23, Liepāja</v>
      </c>
      <c r="E7" s="354"/>
      <c r="F7" s="354"/>
      <c r="G7" s="354"/>
      <c r="H7" s="354"/>
      <c r="I7" s="354"/>
      <c r="J7" s="354"/>
      <c r="K7" s="354"/>
      <c r="L7" s="354"/>
      <c r="M7" s="173"/>
      <c r="N7" s="173"/>
      <c r="O7" s="173"/>
      <c r="P7" s="173"/>
    </row>
    <row r="8" spans="1:17" x14ac:dyDescent="0.2">
      <c r="A8" s="167"/>
      <c r="B8" s="167"/>
      <c r="C8" s="200" t="s">
        <v>20</v>
      </c>
      <c r="D8" s="354" t="str">
        <f>'Kops a'!D9</f>
        <v>EA-14-17/WOOS</v>
      </c>
      <c r="E8" s="354"/>
      <c r="F8" s="354"/>
      <c r="G8" s="354"/>
      <c r="H8" s="354"/>
      <c r="I8" s="354"/>
      <c r="J8" s="354"/>
      <c r="K8" s="354"/>
      <c r="L8" s="354"/>
      <c r="M8" s="173"/>
      <c r="N8" s="173"/>
      <c r="O8" s="173"/>
      <c r="P8" s="173"/>
    </row>
    <row r="9" spans="1:17" x14ac:dyDescent="0.2">
      <c r="A9" s="341" t="s">
        <v>556</v>
      </c>
      <c r="B9" s="341"/>
      <c r="C9" s="341"/>
      <c r="D9" s="341"/>
      <c r="E9" s="341"/>
      <c r="F9" s="341"/>
      <c r="G9" s="175"/>
      <c r="H9" s="175"/>
      <c r="I9" s="175"/>
      <c r="J9" s="345" t="s">
        <v>39</v>
      </c>
      <c r="K9" s="345"/>
      <c r="L9" s="345"/>
      <c r="M9" s="345"/>
      <c r="N9" s="353">
        <f>P79</f>
        <v>0</v>
      </c>
      <c r="O9" s="353"/>
      <c r="P9" s="175"/>
    </row>
    <row r="10" spans="1:17" x14ac:dyDescent="0.2">
      <c r="A10" s="201"/>
      <c r="B10" s="202"/>
      <c r="C10" s="200"/>
      <c r="D10" s="167"/>
      <c r="E10" s="167"/>
      <c r="F10" s="167"/>
      <c r="G10" s="167"/>
      <c r="H10" s="167"/>
      <c r="I10" s="167"/>
      <c r="J10" s="167"/>
      <c r="K10" s="167"/>
      <c r="L10" s="198"/>
      <c r="M10" s="198"/>
      <c r="O10" s="203"/>
      <c r="P10" s="204" t="str">
        <f>A85</f>
        <v>Tāme sastādīta 2021. gada</v>
      </c>
    </row>
    <row r="11" spans="1:17" ht="12" thickBot="1" x14ac:dyDescent="0.25">
      <c r="A11" s="201"/>
      <c r="B11" s="202"/>
      <c r="C11" s="200"/>
      <c r="D11" s="167"/>
      <c r="E11" s="167"/>
      <c r="F11" s="167"/>
      <c r="G11" s="167"/>
      <c r="H11" s="167"/>
      <c r="I11" s="167"/>
      <c r="J11" s="167"/>
      <c r="K11" s="167"/>
      <c r="L11" s="205"/>
      <c r="M11" s="205"/>
      <c r="N11" s="206"/>
      <c r="O11" s="196"/>
      <c r="P11" s="167"/>
    </row>
    <row r="12" spans="1:17" x14ac:dyDescent="0.2">
      <c r="A12" s="346" t="s">
        <v>23</v>
      </c>
      <c r="B12" s="348" t="s">
        <v>40</v>
      </c>
      <c r="C12" s="343" t="s">
        <v>41</v>
      </c>
      <c r="D12" s="351" t="s">
        <v>42</v>
      </c>
      <c r="E12" s="355" t="s">
        <v>43</v>
      </c>
      <c r="F12" s="342" t="s">
        <v>44</v>
      </c>
      <c r="G12" s="343"/>
      <c r="H12" s="343"/>
      <c r="I12" s="343"/>
      <c r="J12" s="343"/>
      <c r="K12" s="344"/>
      <c r="L12" s="342" t="s">
        <v>45</v>
      </c>
      <c r="M12" s="343"/>
      <c r="N12" s="343"/>
      <c r="O12" s="343"/>
      <c r="P12" s="344"/>
    </row>
    <row r="13" spans="1:17" ht="118.5" thickBot="1" x14ac:dyDescent="0.25">
      <c r="A13" s="347"/>
      <c r="B13" s="349"/>
      <c r="C13" s="350"/>
      <c r="D13" s="352"/>
      <c r="E13" s="356"/>
      <c r="F13" s="207" t="s">
        <v>46</v>
      </c>
      <c r="G13" s="208" t="s">
        <v>47</v>
      </c>
      <c r="H13" s="208" t="s">
        <v>48</v>
      </c>
      <c r="I13" s="208" t="s">
        <v>49</v>
      </c>
      <c r="J13" s="208" t="s">
        <v>50</v>
      </c>
      <c r="K13" s="209" t="s">
        <v>51</v>
      </c>
      <c r="L13" s="207" t="s">
        <v>46</v>
      </c>
      <c r="M13" s="208" t="s">
        <v>48</v>
      </c>
      <c r="N13" s="208" t="s">
        <v>49</v>
      </c>
      <c r="O13" s="208" t="s">
        <v>50</v>
      </c>
      <c r="P13" s="209" t="s">
        <v>51</v>
      </c>
    </row>
    <row r="14" spans="1:17" ht="11.25" customHeight="1" x14ac:dyDescent="0.2">
      <c r="A14" s="59">
        <f>IF(COUNTBLANK(B14)=1," ",COUNTA(B$14:B14))</f>
        <v>1</v>
      </c>
      <c r="B14" s="60" t="s">
        <v>93</v>
      </c>
      <c r="C14" s="61" t="s">
        <v>94</v>
      </c>
      <c r="D14" s="59" t="s">
        <v>95</v>
      </c>
      <c r="E14" s="129">
        <v>285</v>
      </c>
      <c r="F14" s="75"/>
      <c r="G14" s="75"/>
      <c r="H14" s="75"/>
      <c r="I14" s="75"/>
      <c r="J14" s="75"/>
      <c r="K14" s="75"/>
      <c r="L14" s="210"/>
      <c r="M14" s="210"/>
      <c r="N14" s="210"/>
      <c r="O14" s="210"/>
      <c r="P14" s="210"/>
      <c r="Q14" s="175"/>
    </row>
    <row r="15" spans="1:17" x14ac:dyDescent="0.2">
      <c r="A15" s="59" t="str">
        <f>IF(COUNTBLANK(B15)=1," ",COUNTA(B$14:B15))</f>
        <v xml:space="preserve"> </v>
      </c>
      <c r="B15" s="60"/>
      <c r="C15" s="61" t="s">
        <v>96</v>
      </c>
      <c r="D15" s="59" t="s">
        <v>97</v>
      </c>
      <c r="E15" s="109">
        <f>E14/3.5</f>
        <v>81.428571428571431</v>
      </c>
      <c r="F15" s="75"/>
      <c r="G15" s="75"/>
      <c r="H15" s="75"/>
      <c r="I15" s="211"/>
      <c r="J15" s="75"/>
      <c r="K15" s="75"/>
      <c r="L15" s="210"/>
      <c r="M15" s="210"/>
      <c r="N15" s="210"/>
      <c r="O15" s="210"/>
      <c r="P15" s="210"/>
      <c r="Q15" s="175"/>
    </row>
    <row r="16" spans="1:17" x14ac:dyDescent="0.2">
      <c r="A16" s="59" t="str">
        <f>IF(COUNTBLANK(B16)=1," ",COUNTA(B$14:B16))</f>
        <v xml:space="preserve"> </v>
      </c>
      <c r="B16" s="60"/>
      <c r="C16" s="61" t="s">
        <v>98</v>
      </c>
      <c r="D16" s="59" t="s">
        <v>97</v>
      </c>
      <c r="E16" s="109">
        <f>E15+1</f>
        <v>82.428571428571431</v>
      </c>
      <c r="F16" s="75"/>
      <c r="G16" s="75"/>
      <c r="H16" s="75"/>
      <c r="I16" s="211"/>
      <c r="J16" s="75"/>
      <c r="K16" s="75"/>
      <c r="L16" s="210"/>
      <c r="M16" s="210"/>
      <c r="N16" s="210"/>
      <c r="O16" s="210"/>
      <c r="P16" s="210"/>
      <c r="Q16" s="236"/>
    </row>
    <row r="17" spans="1:17" x14ac:dyDescent="0.2">
      <c r="A17" s="59">
        <f>IF(COUNTBLANK(B17)=1," ",COUNTA(B$14:B17))</f>
        <v>2</v>
      </c>
      <c r="B17" s="60" t="s">
        <v>93</v>
      </c>
      <c r="C17" s="61" t="s">
        <v>99</v>
      </c>
      <c r="D17" s="59" t="s">
        <v>100</v>
      </c>
      <c r="E17" s="129">
        <f>231.78*17.6</f>
        <v>4079.3280000000004</v>
      </c>
      <c r="F17" s="75"/>
      <c r="G17" s="75"/>
      <c r="H17" s="75"/>
      <c r="I17" s="75"/>
      <c r="J17" s="75"/>
      <c r="K17" s="75"/>
      <c r="L17" s="210"/>
      <c r="M17" s="210"/>
      <c r="N17" s="210"/>
      <c r="O17" s="210"/>
      <c r="P17" s="210"/>
      <c r="Q17" s="175"/>
    </row>
    <row r="18" spans="1:17" x14ac:dyDescent="0.2">
      <c r="A18" s="59" t="str">
        <f>IF(COUNTBLANK(B18)=1," ",COUNTA(B$14:B18))</f>
        <v xml:space="preserve"> </v>
      </c>
      <c r="B18" s="60"/>
      <c r="C18" s="61" t="s">
        <v>101</v>
      </c>
      <c r="D18" s="59" t="s">
        <v>100</v>
      </c>
      <c r="E18" s="129">
        <f>E17</f>
        <v>4079.3280000000004</v>
      </c>
      <c r="F18" s="75"/>
      <c r="G18" s="75"/>
      <c r="H18" s="75"/>
      <c r="I18" s="75"/>
      <c r="J18" s="75"/>
      <c r="K18" s="75"/>
      <c r="L18" s="210"/>
      <c r="M18" s="210"/>
      <c r="N18" s="210"/>
      <c r="O18" s="210"/>
      <c r="P18" s="210"/>
    </row>
    <row r="19" spans="1:17" x14ac:dyDescent="0.2">
      <c r="A19" s="59">
        <f>IF(COUNTBLANK(B19)=1," ",COUNTA(B$14:B19))</f>
        <v>3</v>
      </c>
      <c r="B19" s="60" t="s">
        <v>93</v>
      </c>
      <c r="C19" s="61" t="s">
        <v>102</v>
      </c>
      <c r="D19" s="59" t="s">
        <v>97</v>
      </c>
      <c r="E19" s="129">
        <v>1</v>
      </c>
      <c r="F19" s="75"/>
      <c r="G19" s="75"/>
      <c r="H19" s="75"/>
      <c r="I19" s="75"/>
      <c r="J19" s="75"/>
      <c r="K19" s="75"/>
      <c r="L19" s="210"/>
      <c r="M19" s="210"/>
      <c r="N19" s="210"/>
      <c r="O19" s="210"/>
      <c r="P19" s="210"/>
    </row>
    <row r="20" spans="1:17" x14ac:dyDescent="0.2">
      <c r="A20" s="59" t="str">
        <f>IF(COUNTBLANK(B20)=1," ",COUNTA(B$14:B20))</f>
        <v xml:space="preserve"> </v>
      </c>
      <c r="B20" s="60"/>
      <c r="C20" s="61" t="s">
        <v>103</v>
      </c>
      <c r="D20" s="59" t="s">
        <v>104</v>
      </c>
      <c r="E20" s="129">
        <f>16*E19</f>
        <v>16</v>
      </c>
      <c r="F20" s="75"/>
      <c r="G20" s="75"/>
      <c r="H20" s="75"/>
      <c r="I20" s="75"/>
      <c r="J20" s="75"/>
      <c r="K20" s="75"/>
      <c r="L20" s="210"/>
      <c r="M20" s="210"/>
      <c r="N20" s="210"/>
      <c r="O20" s="210"/>
      <c r="P20" s="210"/>
    </row>
    <row r="21" spans="1:17" x14ac:dyDescent="0.2">
      <c r="A21" s="59">
        <f>IF(COUNTBLANK(B21)=1," ",COUNTA(B$14:B21))</f>
        <v>4</v>
      </c>
      <c r="B21" s="60" t="s">
        <v>93</v>
      </c>
      <c r="C21" s="61" t="s">
        <v>105</v>
      </c>
      <c r="D21" s="59" t="s">
        <v>97</v>
      </c>
      <c r="E21" s="129">
        <v>2</v>
      </c>
      <c r="F21" s="75"/>
      <c r="G21" s="75"/>
      <c r="H21" s="75"/>
      <c r="I21" s="75"/>
      <c r="J21" s="75"/>
      <c r="K21" s="75"/>
      <c r="L21" s="210"/>
      <c r="M21" s="210"/>
      <c r="N21" s="210"/>
      <c r="O21" s="210"/>
      <c r="P21" s="210"/>
    </row>
    <row r="22" spans="1:17" ht="15" customHeight="1" x14ac:dyDescent="0.2">
      <c r="A22" s="59">
        <f>IF(COUNTBLANK(B22)=1," ",COUNTA(B$14:B22))</f>
        <v>5</v>
      </c>
      <c r="B22" s="60" t="s">
        <v>93</v>
      </c>
      <c r="C22" s="62" t="s">
        <v>270</v>
      </c>
      <c r="D22" s="59" t="s">
        <v>95</v>
      </c>
      <c r="E22" s="114">
        <v>100.2</v>
      </c>
      <c r="F22" s="113"/>
      <c r="G22" s="113"/>
      <c r="H22" s="113"/>
      <c r="I22" s="113"/>
      <c r="J22" s="113"/>
      <c r="K22" s="212"/>
      <c r="L22" s="213"/>
      <c r="M22" s="213"/>
      <c r="N22" s="213"/>
      <c r="O22" s="213"/>
      <c r="P22" s="213"/>
    </row>
    <row r="23" spans="1:17" ht="22.5" x14ac:dyDescent="0.2">
      <c r="A23" s="59">
        <f>IF(COUNTBLANK(B23)=1," ",COUNTA(B$14:B23))</f>
        <v>6</v>
      </c>
      <c r="B23" s="60" t="s">
        <v>93</v>
      </c>
      <c r="C23" s="61" t="s">
        <v>106</v>
      </c>
      <c r="D23" s="59" t="s">
        <v>100</v>
      </c>
      <c r="E23" s="129">
        <f>E27</f>
        <v>3767.8100000000009</v>
      </c>
      <c r="F23" s="75"/>
      <c r="G23" s="75"/>
      <c r="H23" s="75"/>
      <c r="I23" s="75"/>
      <c r="J23" s="75"/>
      <c r="K23" s="75"/>
      <c r="L23" s="210"/>
      <c r="M23" s="210"/>
      <c r="N23" s="210"/>
      <c r="O23" s="210"/>
      <c r="P23" s="210"/>
    </row>
    <row r="24" spans="1:17" x14ac:dyDescent="0.2">
      <c r="A24" s="59" t="str">
        <f>IF(COUNTBLANK(B24)=1," ",COUNTA(B$14:B24))</f>
        <v xml:space="preserve"> </v>
      </c>
      <c r="B24" s="59"/>
      <c r="C24" s="62" t="s">
        <v>453</v>
      </c>
      <c r="D24" s="59" t="s">
        <v>107</v>
      </c>
      <c r="E24" s="75">
        <f>E23*0.25</f>
        <v>941.95250000000021</v>
      </c>
      <c r="F24" s="75"/>
      <c r="G24" s="75"/>
      <c r="H24" s="75"/>
      <c r="I24" s="75"/>
      <c r="J24" s="75"/>
      <c r="K24" s="75"/>
      <c r="L24" s="210"/>
      <c r="M24" s="210"/>
      <c r="N24" s="210"/>
      <c r="O24" s="210"/>
      <c r="P24" s="210"/>
    </row>
    <row r="25" spans="1:17" ht="22.5" x14ac:dyDescent="0.2">
      <c r="A25" s="59">
        <f>IF(COUNTBLANK(B25)=1," ",COUNTA(B$14:B25))</f>
        <v>7</v>
      </c>
      <c r="B25" s="60" t="s">
        <v>93</v>
      </c>
      <c r="C25" s="61" t="s">
        <v>459</v>
      </c>
      <c r="D25" s="59" t="s">
        <v>100</v>
      </c>
      <c r="E25" s="129">
        <f>E23*0.3</f>
        <v>1130.3430000000003</v>
      </c>
      <c r="F25" s="75"/>
      <c r="G25" s="75"/>
      <c r="H25" s="75"/>
      <c r="I25" s="75"/>
      <c r="J25" s="75"/>
      <c r="K25" s="75"/>
      <c r="L25" s="210"/>
      <c r="M25" s="210"/>
      <c r="N25" s="210"/>
      <c r="O25" s="210"/>
      <c r="P25" s="210"/>
    </row>
    <row r="26" spans="1:17" x14ac:dyDescent="0.2">
      <c r="A26" s="59" t="str">
        <f>IF(COUNTBLANK(B26)=1," ",COUNTA(B$14:B26))</f>
        <v xml:space="preserve"> </v>
      </c>
      <c r="B26" s="60"/>
      <c r="C26" s="61" t="s">
        <v>460</v>
      </c>
      <c r="D26" s="59" t="s">
        <v>108</v>
      </c>
      <c r="E26" s="129">
        <f>E25*0.2</f>
        <v>226.06860000000006</v>
      </c>
      <c r="F26" s="75"/>
      <c r="G26" s="75"/>
      <c r="H26" s="75"/>
      <c r="I26" s="75"/>
      <c r="J26" s="75"/>
      <c r="K26" s="75"/>
      <c r="L26" s="210"/>
      <c r="M26" s="210"/>
      <c r="N26" s="210"/>
      <c r="O26" s="210"/>
      <c r="P26" s="210"/>
    </row>
    <row r="27" spans="1:17" ht="33.75" x14ac:dyDescent="0.2">
      <c r="A27" s="59">
        <f>IF(COUNTBLANK(B27)=1," ",COUNTA(B$14:B27))</f>
        <v>8</v>
      </c>
      <c r="B27" s="60" t="s">
        <v>93</v>
      </c>
      <c r="C27" s="139" t="s">
        <v>109</v>
      </c>
      <c r="D27" s="114" t="s">
        <v>100</v>
      </c>
      <c r="E27" s="214">
        <f>SUM(E30:E34)/1.1</f>
        <v>3767.8100000000009</v>
      </c>
      <c r="F27" s="75"/>
      <c r="G27" s="75"/>
      <c r="H27" s="75"/>
      <c r="I27" s="75"/>
      <c r="J27" s="59"/>
      <c r="K27" s="75"/>
      <c r="L27" s="210"/>
      <c r="M27" s="210"/>
      <c r="N27" s="210"/>
      <c r="O27" s="210"/>
      <c r="P27" s="210"/>
    </row>
    <row r="28" spans="1:17" x14ac:dyDescent="0.2">
      <c r="A28" s="59" t="str">
        <f>IF(COUNTBLANK(B28)=1," ",COUNTA(B$14:B28))</f>
        <v xml:space="preserve"> </v>
      </c>
      <c r="B28" s="59"/>
      <c r="C28" s="62" t="s">
        <v>453</v>
      </c>
      <c r="D28" s="108" t="s">
        <v>107</v>
      </c>
      <c r="E28" s="75">
        <f>ROUNDUP(E27*0.3,2)</f>
        <v>1130.3499999999999</v>
      </c>
      <c r="F28" s="75"/>
      <c r="G28" s="75"/>
      <c r="H28" s="75"/>
      <c r="I28" s="75"/>
      <c r="J28" s="75"/>
      <c r="K28" s="75"/>
      <c r="L28" s="210"/>
      <c r="M28" s="210"/>
      <c r="N28" s="210"/>
      <c r="O28" s="210"/>
      <c r="P28" s="210"/>
    </row>
    <row r="29" spans="1:17" x14ac:dyDescent="0.2">
      <c r="A29" s="59" t="str">
        <f>IF(COUNTBLANK(B29)=1," ",COUNTA(B$14:B29))</f>
        <v xml:space="preserve"> </v>
      </c>
      <c r="B29" s="215"/>
      <c r="C29" s="215" t="s">
        <v>461</v>
      </c>
      <c r="D29" s="188" t="s">
        <v>107</v>
      </c>
      <c r="E29" s="188">
        <f>ROUNDUP(E27*5,2)</f>
        <v>18839.05</v>
      </c>
      <c r="F29" s="75"/>
      <c r="G29" s="75"/>
      <c r="H29" s="75"/>
      <c r="I29" s="75"/>
      <c r="J29" s="75"/>
      <c r="K29" s="75"/>
      <c r="L29" s="210"/>
      <c r="M29" s="210"/>
      <c r="N29" s="210"/>
      <c r="O29" s="210"/>
      <c r="P29" s="210"/>
    </row>
    <row r="30" spans="1:17" ht="90" x14ac:dyDescent="0.2">
      <c r="A30" s="59">
        <f>IF(COUNTBLANK(B30)=1," ",COUNTA(B$14:B30))</f>
        <v>9</v>
      </c>
      <c r="B30" s="215" t="s">
        <v>89</v>
      </c>
      <c r="C30" s="216" t="s">
        <v>546</v>
      </c>
      <c r="D30" s="188" t="s">
        <v>100</v>
      </c>
      <c r="E30" s="188">
        <f>2152.4*1.1</f>
        <v>2367.6400000000003</v>
      </c>
      <c r="F30" s="75"/>
      <c r="G30" s="75"/>
      <c r="H30" s="59"/>
      <c r="I30" s="75"/>
      <c r="J30" s="75"/>
      <c r="K30" s="75"/>
      <c r="L30" s="210"/>
      <c r="M30" s="210"/>
      <c r="N30" s="210"/>
      <c r="O30" s="210"/>
      <c r="P30" s="210"/>
    </row>
    <row r="31" spans="1:17" ht="78.75" x14ac:dyDescent="0.2">
      <c r="A31" s="59">
        <f>IF(COUNTBLANK(B31)=1," ",COUNTA(B$14:B31))</f>
        <v>10</v>
      </c>
      <c r="B31" s="215" t="s">
        <v>271</v>
      </c>
      <c r="C31" s="390" t="s">
        <v>557</v>
      </c>
      <c r="D31" s="188" t="s">
        <v>100</v>
      </c>
      <c r="E31" s="217">
        <f>919.71*1.1</f>
        <v>1011.6810000000002</v>
      </c>
      <c r="F31" s="77"/>
      <c r="G31" s="77"/>
      <c r="H31" s="117"/>
      <c r="I31" s="77"/>
      <c r="J31" s="77"/>
      <c r="K31" s="77"/>
      <c r="L31" s="218"/>
      <c r="M31" s="218"/>
      <c r="N31" s="218"/>
      <c r="O31" s="218"/>
      <c r="P31" s="218"/>
    </row>
    <row r="32" spans="1:17" ht="67.5" x14ac:dyDescent="0.2">
      <c r="A32" s="59">
        <f>IF(COUNTBLANK(B32)=1," ",COUNTA(B$14:B32))</f>
        <v>11</v>
      </c>
      <c r="B32" s="219" t="s">
        <v>542</v>
      </c>
      <c r="C32" s="220" t="s">
        <v>547</v>
      </c>
      <c r="D32" s="189" t="s">
        <v>100</v>
      </c>
      <c r="E32" s="189">
        <f>143.3*1.1</f>
        <v>157.63000000000002</v>
      </c>
      <c r="F32" s="75"/>
      <c r="G32" s="75"/>
      <c r="H32" s="59"/>
      <c r="I32" s="75"/>
      <c r="J32" s="75"/>
      <c r="K32" s="75"/>
      <c r="L32" s="210"/>
      <c r="M32" s="210"/>
      <c r="N32" s="210"/>
      <c r="O32" s="210"/>
      <c r="P32" s="210"/>
    </row>
    <row r="33" spans="1:16" ht="90" x14ac:dyDescent="0.2">
      <c r="A33" s="59">
        <f>IF(COUNTBLANK(B33)=1," ",COUNTA(B$14:B33))</f>
        <v>12</v>
      </c>
      <c r="B33" s="215" t="s">
        <v>165</v>
      </c>
      <c r="C33" s="216" t="s">
        <v>548</v>
      </c>
      <c r="D33" s="188" t="str">
        <f>D30</f>
        <v>m²</v>
      </c>
      <c r="E33" s="188">
        <f>542.5*1.1</f>
        <v>596.75</v>
      </c>
      <c r="F33" s="75"/>
      <c r="G33" s="75"/>
      <c r="H33" s="59"/>
      <c r="I33" s="75"/>
      <c r="J33" s="75"/>
      <c r="K33" s="75"/>
      <c r="L33" s="210"/>
      <c r="M33" s="210"/>
      <c r="N33" s="210"/>
      <c r="O33" s="210"/>
      <c r="P33" s="210"/>
    </row>
    <row r="34" spans="1:16" ht="78.75" x14ac:dyDescent="0.2">
      <c r="A34" s="59">
        <f>IF(COUNTBLANK(B34)=1," ",COUNTA(B$14:B34))</f>
        <v>13</v>
      </c>
      <c r="B34" s="221" t="s">
        <v>535</v>
      </c>
      <c r="C34" s="220" t="s">
        <v>549</v>
      </c>
      <c r="D34" s="189" t="str">
        <f>D32</f>
        <v>m²</v>
      </c>
      <c r="E34" s="189">
        <f>3.3*3*1.1</f>
        <v>10.889999999999999</v>
      </c>
      <c r="F34" s="75"/>
      <c r="G34" s="75"/>
      <c r="H34" s="59"/>
      <c r="I34" s="75"/>
      <c r="J34" s="75"/>
      <c r="K34" s="75"/>
      <c r="L34" s="210"/>
      <c r="M34" s="210"/>
      <c r="N34" s="210"/>
      <c r="O34" s="210"/>
      <c r="P34" s="210"/>
    </row>
    <row r="35" spans="1:16" x14ac:dyDescent="0.2">
      <c r="A35" s="59" t="str">
        <f>IF(COUNTBLANK(B35)=1," ",COUNTA(B$14:B35))</f>
        <v xml:space="preserve"> </v>
      </c>
      <c r="B35" s="215"/>
      <c r="C35" s="215" t="s">
        <v>462</v>
      </c>
      <c r="D35" s="188" t="s">
        <v>110</v>
      </c>
      <c r="E35" s="188">
        <f>E27*8</f>
        <v>30142.480000000007</v>
      </c>
      <c r="F35" s="75"/>
      <c r="G35" s="75"/>
      <c r="H35" s="59"/>
      <c r="I35" s="75"/>
      <c r="J35" s="75"/>
      <c r="K35" s="75"/>
      <c r="L35" s="210"/>
      <c r="M35" s="210"/>
      <c r="N35" s="210"/>
      <c r="O35" s="210"/>
      <c r="P35" s="210"/>
    </row>
    <row r="36" spans="1:16" ht="33.75" x14ac:dyDescent="0.2">
      <c r="A36" s="59">
        <f>IF(COUNTBLANK(B36)=1," ",COUNTA(B$14:B36))</f>
        <v>14</v>
      </c>
      <c r="B36" s="215" t="s">
        <v>93</v>
      </c>
      <c r="C36" s="390" t="s">
        <v>558</v>
      </c>
      <c r="D36" s="188" t="s">
        <v>100</v>
      </c>
      <c r="E36" s="188">
        <f>apjomi!M27</f>
        <v>557.49000000000012</v>
      </c>
      <c r="F36" s="75"/>
      <c r="G36" s="75"/>
      <c r="H36" s="75"/>
      <c r="I36" s="75"/>
      <c r="J36" s="75"/>
      <c r="K36" s="75"/>
      <c r="L36" s="210"/>
      <c r="M36" s="210"/>
      <c r="N36" s="210"/>
      <c r="O36" s="210"/>
      <c r="P36" s="210"/>
    </row>
    <row r="37" spans="1:16" x14ac:dyDescent="0.2">
      <c r="A37" s="59" t="str">
        <f>IF(COUNTBLANK(B37)=1," ",COUNTA(B$14:B37))</f>
        <v xml:space="preserve"> </v>
      </c>
      <c r="B37" s="59"/>
      <c r="C37" s="62" t="s">
        <v>453</v>
      </c>
      <c r="D37" s="59" t="s">
        <v>107</v>
      </c>
      <c r="E37" s="75">
        <f>E36*0.3</f>
        <v>167.24700000000004</v>
      </c>
      <c r="F37" s="75"/>
      <c r="G37" s="75"/>
      <c r="H37" s="75"/>
      <c r="I37" s="75"/>
      <c r="J37" s="75"/>
      <c r="K37" s="75"/>
      <c r="L37" s="210"/>
      <c r="M37" s="210"/>
      <c r="N37" s="210"/>
      <c r="O37" s="210"/>
      <c r="P37" s="210"/>
    </row>
    <row r="38" spans="1:16" x14ac:dyDescent="0.2">
      <c r="A38" s="59" t="str">
        <f>IF(COUNTBLANK(B38)=1," ",COUNTA(B$14:B38))</f>
        <v xml:space="preserve"> </v>
      </c>
      <c r="B38" s="59"/>
      <c r="C38" s="62" t="s">
        <v>111</v>
      </c>
      <c r="D38" s="59" t="s">
        <v>61</v>
      </c>
      <c r="E38" s="75">
        <f>E36*1.1</f>
        <v>613.23900000000015</v>
      </c>
      <c r="F38" s="75"/>
      <c r="G38" s="75"/>
      <c r="H38" s="75"/>
      <c r="I38" s="75"/>
      <c r="J38" s="75"/>
      <c r="K38" s="75"/>
      <c r="L38" s="210"/>
      <c r="M38" s="210"/>
      <c r="N38" s="210"/>
      <c r="O38" s="210"/>
      <c r="P38" s="210"/>
    </row>
    <row r="39" spans="1:16" x14ac:dyDescent="0.2">
      <c r="A39" s="59" t="str">
        <f>IF(COUNTBLANK(B39)=1," ",COUNTA(B$14:B39))</f>
        <v xml:space="preserve"> </v>
      </c>
      <c r="B39" s="59"/>
      <c r="C39" s="62" t="s">
        <v>461</v>
      </c>
      <c r="D39" s="59" t="s">
        <v>107</v>
      </c>
      <c r="E39" s="75">
        <f>E36*4.5</f>
        <v>2508.7050000000004</v>
      </c>
      <c r="F39" s="75"/>
      <c r="G39" s="75"/>
      <c r="H39" s="75"/>
      <c r="I39" s="75"/>
      <c r="J39" s="75"/>
      <c r="K39" s="75"/>
      <c r="L39" s="210"/>
      <c r="M39" s="210"/>
      <c r="N39" s="210"/>
      <c r="O39" s="210"/>
      <c r="P39" s="210"/>
    </row>
    <row r="40" spans="1:16" x14ac:dyDescent="0.2">
      <c r="A40" s="59" t="str">
        <f>IF(COUNTBLANK(B40)=1," ",COUNTA(B$14:B40))</f>
        <v xml:space="preserve"> </v>
      </c>
      <c r="B40" s="59"/>
      <c r="C40" s="62" t="s">
        <v>462</v>
      </c>
      <c r="D40" s="59" t="s">
        <v>110</v>
      </c>
      <c r="E40" s="75">
        <f>E36*5</f>
        <v>2787.4500000000007</v>
      </c>
      <c r="F40" s="75"/>
      <c r="G40" s="75"/>
      <c r="H40" s="75"/>
      <c r="I40" s="75"/>
      <c r="J40" s="75"/>
      <c r="K40" s="75"/>
      <c r="L40" s="210"/>
      <c r="M40" s="210"/>
      <c r="N40" s="210"/>
      <c r="O40" s="210"/>
      <c r="P40" s="210"/>
    </row>
    <row r="41" spans="1:16" x14ac:dyDescent="0.2">
      <c r="A41" s="59" t="str">
        <f>IF(COUNTBLANK(B41)=1," ",COUNTA(B$14:B41))</f>
        <v xml:space="preserve"> </v>
      </c>
      <c r="B41" s="59"/>
      <c r="C41" s="62" t="s">
        <v>461</v>
      </c>
      <c r="D41" s="59" t="s">
        <v>107</v>
      </c>
      <c r="E41" s="75">
        <f>E36*4</f>
        <v>2229.9600000000005</v>
      </c>
      <c r="F41" s="75"/>
      <c r="G41" s="75"/>
      <c r="H41" s="75"/>
      <c r="I41" s="75"/>
      <c r="J41" s="75"/>
      <c r="K41" s="75"/>
      <c r="L41" s="210"/>
      <c r="M41" s="210"/>
      <c r="N41" s="210"/>
      <c r="O41" s="210"/>
      <c r="P41" s="210"/>
    </row>
    <row r="42" spans="1:16" x14ac:dyDescent="0.2">
      <c r="A42" s="59" t="str">
        <f>IF(COUNTBLANK(B42)=1," ",COUNTA(B$14:B42))</f>
        <v xml:space="preserve"> </v>
      </c>
      <c r="B42" s="59"/>
      <c r="C42" s="62" t="s">
        <v>112</v>
      </c>
      <c r="D42" s="59" t="s">
        <v>61</v>
      </c>
      <c r="E42" s="75">
        <f>E36*1.1</f>
        <v>613.23900000000015</v>
      </c>
      <c r="F42" s="75"/>
      <c r="G42" s="75"/>
      <c r="H42" s="75"/>
      <c r="I42" s="75"/>
      <c r="J42" s="75"/>
      <c r="K42" s="75"/>
      <c r="L42" s="210"/>
      <c r="M42" s="210"/>
      <c r="N42" s="210"/>
      <c r="O42" s="210"/>
      <c r="P42" s="210"/>
    </row>
    <row r="43" spans="1:16" ht="22.5" x14ac:dyDescent="0.2">
      <c r="A43" s="59">
        <f>IF(COUNTBLANK(B43)=1," ",COUNTA(B$14:B43))</f>
        <v>15</v>
      </c>
      <c r="B43" s="60" t="s">
        <v>93</v>
      </c>
      <c r="C43" s="62" t="s">
        <v>279</v>
      </c>
      <c r="D43" s="140" t="s">
        <v>100</v>
      </c>
      <c r="E43" s="128">
        <f>0.5*0.5*(apjomi!E4+apjomi!E6+apjomi!E8+apjomi!E10+apjomi!E12+apjomi!E13+apjomi!E14+apjomi!E15+apjomi!E16+apjomi!E17+apjomi!E18+apjomi!E19+apjomi!E20+(apjomi!E21+apjomi!E24+apjomi!E25)/2)*4</f>
        <v>316</v>
      </c>
      <c r="F43" s="75"/>
      <c r="G43" s="75"/>
      <c r="H43" s="75"/>
      <c r="I43" s="75"/>
      <c r="J43" s="75"/>
      <c r="K43" s="75"/>
      <c r="L43" s="210"/>
      <c r="M43" s="210"/>
      <c r="N43" s="210"/>
      <c r="O43" s="210"/>
      <c r="P43" s="210"/>
    </row>
    <row r="44" spans="1:16" x14ac:dyDescent="0.2">
      <c r="A44" s="59" t="str">
        <f>IF(COUNTBLANK(B44)=1," ",COUNTA(B$14:B44))</f>
        <v xml:space="preserve"> </v>
      </c>
      <c r="B44" s="59"/>
      <c r="C44" s="62" t="s">
        <v>461</v>
      </c>
      <c r="D44" s="59" t="s">
        <v>107</v>
      </c>
      <c r="E44" s="75">
        <f>E43*5</f>
        <v>1580</v>
      </c>
      <c r="F44" s="75"/>
      <c r="G44" s="75"/>
      <c r="H44" s="75"/>
      <c r="I44" s="75"/>
      <c r="J44" s="75"/>
      <c r="K44" s="75"/>
      <c r="L44" s="210"/>
      <c r="M44" s="210"/>
      <c r="N44" s="210"/>
      <c r="O44" s="210"/>
      <c r="P44" s="210"/>
    </row>
    <row r="45" spans="1:16" x14ac:dyDescent="0.2">
      <c r="A45" s="59" t="str">
        <f>IF(COUNTBLANK(B45)=1," ",COUNTA(B$14:B45))</f>
        <v xml:space="preserve"> </v>
      </c>
      <c r="B45" s="59"/>
      <c r="C45" s="62" t="s">
        <v>112</v>
      </c>
      <c r="D45" s="59" t="s">
        <v>100</v>
      </c>
      <c r="E45" s="75">
        <f>E43*1.1</f>
        <v>347.6</v>
      </c>
      <c r="F45" s="75"/>
      <c r="G45" s="75"/>
      <c r="H45" s="75"/>
      <c r="I45" s="75"/>
      <c r="J45" s="75"/>
      <c r="K45" s="75"/>
      <c r="L45" s="210"/>
      <c r="M45" s="210"/>
      <c r="N45" s="210"/>
      <c r="O45" s="210"/>
      <c r="P45" s="210"/>
    </row>
    <row r="46" spans="1:16" ht="44.25" customHeight="1" x14ac:dyDescent="0.2">
      <c r="A46" s="59">
        <f>IF(COUNTBLANK(B46)=1," ",COUNTA(B$14:B46))</f>
        <v>16</v>
      </c>
      <c r="B46" s="60" t="s">
        <v>93</v>
      </c>
      <c r="C46" s="62" t="s">
        <v>463</v>
      </c>
      <c r="D46" s="59" t="s">
        <v>100</v>
      </c>
      <c r="E46" s="129">
        <f>E36</f>
        <v>557.49000000000012</v>
      </c>
      <c r="F46" s="75"/>
      <c r="G46" s="75"/>
      <c r="H46" s="75"/>
      <c r="I46" s="75"/>
      <c r="J46" s="75"/>
      <c r="K46" s="75"/>
      <c r="L46" s="210"/>
      <c r="M46" s="210"/>
      <c r="N46" s="210"/>
      <c r="O46" s="210"/>
      <c r="P46" s="210"/>
    </row>
    <row r="47" spans="1:16" x14ac:dyDescent="0.2">
      <c r="A47" s="59" t="str">
        <f>IF(COUNTBLANK(B47)=1," ",COUNTA(B$14:B47))</f>
        <v xml:space="preserve"> </v>
      </c>
      <c r="B47" s="59"/>
      <c r="C47" s="62" t="s">
        <v>461</v>
      </c>
      <c r="D47" s="59" t="s">
        <v>107</v>
      </c>
      <c r="E47" s="75">
        <f>E46*5</f>
        <v>2787.4500000000007</v>
      </c>
      <c r="F47" s="75"/>
      <c r="G47" s="75"/>
      <c r="H47" s="75"/>
      <c r="I47" s="75"/>
      <c r="J47" s="75"/>
      <c r="K47" s="75"/>
      <c r="L47" s="210"/>
      <c r="M47" s="210"/>
      <c r="N47" s="210"/>
      <c r="O47" s="210"/>
      <c r="P47" s="210"/>
    </row>
    <row r="48" spans="1:16" x14ac:dyDescent="0.2">
      <c r="A48" s="59" t="str">
        <f>IF(COUNTBLANK(B48)=1," ",COUNTA(B$14:B48))</f>
        <v xml:space="preserve"> </v>
      </c>
      <c r="B48" s="59"/>
      <c r="C48" s="62" t="s">
        <v>112</v>
      </c>
      <c r="D48" s="59" t="s">
        <v>100</v>
      </c>
      <c r="E48" s="75">
        <f>ROUNDUP(E46*1.1,0)</f>
        <v>614</v>
      </c>
      <c r="F48" s="75"/>
      <c r="G48" s="75"/>
      <c r="H48" s="75"/>
      <c r="I48" s="75"/>
      <c r="J48" s="75"/>
      <c r="K48" s="75"/>
      <c r="L48" s="210"/>
      <c r="M48" s="210"/>
      <c r="N48" s="210"/>
      <c r="O48" s="210"/>
      <c r="P48" s="210"/>
    </row>
    <row r="49" spans="1:16" ht="22.5" x14ac:dyDescent="0.2">
      <c r="A49" s="59">
        <f>IF(COUNTBLANK(B49)=1," ",COUNTA(B$14:B49))</f>
        <v>17</v>
      </c>
      <c r="B49" s="60" t="s">
        <v>93</v>
      </c>
      <c r="C49" s="62" t="s">
        <v>113</v>
      </c>
      <c r="D49" s="59" t="s">
        <v>95</v>
      </c>
      <c r="E49" s="129">
        <f>apjomi!K27</f>
        <v>2229.9600000000005</v>
      </c>
      <c r="F49" s="75"/>
      <c r="G49" s="75"/>
      <c r="H49" s="75"/>
      <c r="I49" s="75"/>
      <c r="J49" s="75"/>
      <c r="K49" s="75"/>
      <c r="L49" s="210"/>
      <c r="M49" s="210"/>
      <c r="N49" s="210"/>
      <c r="O49" s="210"/>
      <c r="P49" s="210"/>
    </row>
    <row r="50" spans="1:16" ht="56.25" x14ac:dyDescent="0.2">
      <c r="A50" s="59">
        <f>IF(COUNTBLANK(B50)=1," ",COUNTA(B$14:B50))</f>
        <v>18</v>
      </c>
      <c r="B50" s="60" t="s">
        <v>93</v>
      </c>
      <c r="C50" s="62" t="s">
        <v>464</v>
      </c>
      <c r="D50" s="59" t="s">
        <v>100</v>
      </c>
      <c r="E50" s="75">
        <f>68.6</f>
        <v>68.599999999999994</v>
      </c>
      <c r="F50" s="75"/>
      <c r="G50" s="75"/>
      <c r="H50" s="75"/>
      <c r="I50" s="75"/>
      <c r="J50" s="75"/>
      <c r="K50" s="75"/>
      <c r="L50" s="210"/>
      <c r="M50" s="210"/>
      <c r="N50" s="210"/>
      <c r="O50" s="210"/>
      <c r="P50" s="210"/>
    </row>
    <row r="51" spans="1:16" x14ac:dyDescent="0.2">
      <c r="A51" s="59" t="str">
        <f>IF(COUNTBLANK(B51)=1," ",COUNTA(B$14:B51))</f>
        <v xml:space="preserve"> </v>
      </c>
      <c r="B51" s="59"/>
      <c r="C51" s="62" t="s">
        <v>453</v>
      </c>
      <c r="D51" s="108" t="s">
        <v>107</v>
      </c>
      <c r="E51" s="75">
        <f>ROUNDUP(E50*0.3,2)</f>
        <v>20.58</v>
      </c>
      <c r="F51" s="75"/>
      <c r="G51" s="75"/>
      <c r="H51" s="75"/>
      <c r="I51" s="75"/>
      <c r="J51" s="75"/>
      <c r="K51" s="75"/>
      <c r="L51" s="210"/>
      <c r="M51" s="210"/>
      <c r="N51" s="210"/>
      <c r="O51" s="210"/>
      <c r="P51" s="210"/>
    </row>
    <row r="52" spans="1:16" x14ac:dyDescent="0.2">
      <c r="A52" s="83"/>
      <c r="B52" s="83"/>
      <c r="C52" s="141" t="s">
        <v>170</v>
      </c>
      <c r="D52" s="142" t="s">
        <v>100</v>
      </c>
      <c r="E52" s="80">
        <f>E50*2.2</f>
        <v>150.91999999999999</v>
      </c>
      <c r="F52" s="80"/>
      <c r="G52" s="80"/>
      <c r="H52" s="80"/>
      <c r="I52" s="80"/>
      <c r="J52" s="80"/>
      <c r="K52" s="80"/>
      <c r="L52" s="222"/>
      <c r="M52" s="222"/>
      <c r="N52" s="222"/>
      <c r="O52" s="222"/>
      <c r="P52" s="222"/>
    </row>
    <row r="53" spans="1:16" x14ac:dyDescent="0.2">
      <c r="A53" s="59" t="str">
        <f>IF(COUNTBLANK(B53)=1," ",COUNTA(B$14:B53))</f>
        <v xml:space="preserve"> </v>
      </c>
      <c r="B53" s="59"/>
      <c r="C53" s="62" t="s">
        <v>465</v>
      </c>
      <c r="D53" s="108" t="s">
        <v>107</v>
      </c>
      <c r="E53" s="75">
        <f>ROUNDUP(E50*10,2)</f>
        <v>686</v>
      </c>
      <c r="F53" s="75"/>
      <c r="G53" s="75"/>
      <c r="H53" s="75"/>
      <c r="I53" s="75"/>
      <c r="J53" s="75"/>
      <c r="K53" s="75"/>
      <c r="L53" s="210"/>
      <c r="M53" s="210"/>
      <c r="N53" s="210"/>
      <c r="O53" s="210"/>
      <c r="P53" s="210"/>
    </row>
    <row r="54" spans="1:16" ht="22.5" x14ac:dyDescent="0.2">
      <c r="A54" s="59" t="str">
        <f>IF(COUNTBLANK(B54)=1," ",COUNTA(B$14:B54))</f>
        <v xml:space="preserve"> </v>
      </c>
      <c r="B54" s="59"/>
      <c r="C54" s="62" t="s">
        <v>466</v>
      </c>
      <c r="D54" s="108" t="s">
        <v>107</v>
      </c>
      <c r="E54" s="75">
        <f>ROUNDUP(E50*3.7,2)</f>
        <v>253.82</v>
      </c>
      <c r="F54" s="75"/>
      <c r="G54" s="75"/>
      <c r="H54" s="75"/>
      <c r="I54" s="75"/>
      <c r="J54" s="75"/>
      <c r="K54" s="75"/>
      <c r="L54" s="210"/>
      <c r="M54" s="210"/>
      <c r="N54" s="210"/>
      <c r="O54" s="210"/>
      <c r="P54" s="210"/>
    </row>
    <row r="55" spans="1:16" x14ac:dyDescent="0.2">
      <c r="A55" s="59" t="str">
        <f>IF(COUNTBLANK(B55)=1," ",COUNTA(B$14:B55))</f>
        <v xml:space="preserve"> </v>
      </c>
      <c r="B55" s="59"/>
      <c r="C55" s="62" t="s">
        <v>114</v>
      </c>
      <c r="D55" s="108" t="s">
        <v>115</v>
      </c>
      <c r="E55" s="75">
        <f>ROUNDUP(E50*0.1,0)</f>
        <v>7</v>
      </c>
      <c r="F55" s="75"/>
      <c r="G55" s="75"/>
      <c r="H55" s="75"/>
      <c r="I55" s="75"/>
      <c r="J55" s="75"/>
      <c r="K55" s="75"/>
      <c r="L55" s="210"/>
      <c r="M55" s="210"/>
      <c r="N55" s="210"/>
      <c r="O55" s="210"/>
      <c r="P55" s="210"/>
    </row>
    <row r="56" spans="1:16" ht="56.25" x14ac:dyDescent="0.2">
      <c r="A56" s="59">
        <f>IF(COUNTBLANK(B56)=1," ",COUNTA(B$14:B56))</f>
        <v>19</v>
      </c>
      <c r="B56" s="60" t="s">
        <v>93</v>
      </c>
      <c r="C56" s="62" t="s">
        <v>467</v>
      </c>
      <c r="D56" s="59" t="s">
        <v>100</v>
      </c>
      <c r="E56" s="75">
        <f>E27-E50</f>
        <v>3699.2100000000009</v>
      </c>
      <c r="F56" s="75"/>
      <c r="G56" s="75"/>
      <c r="H56" s="75"/>
      <c r="I56" s="75"/>
      <c r="J56" s="75"/>
      <c r="K56" s="75"/>
      <c r="L56" s="210"/>
      <c r="M56" s="210"/>
      <c r="N56" s="210"/>
      <c r="O56" s="210"/>
      <c r="P56" s="210"/>
    </row>
    <row r="57" spans="1:16" x14ac:dyDescent="0.2">
      <c r="A57" s="59" t="str">
        <f>IF(COUNTBLANK(B57)=1," ",COUNTA(B$14:B57))</f>
        <v xml:space="preserve"> </v>
      </c>
      <c r="B57" s="59"/>
      <c r="C57" s="62" t="s">
        <v>453</v>
      </c>
      <c r="D57" s="108" t="s">
        <v>107</v>
      </c>
      <c r="E57" s="75">
        <f>ROUNDUP(E56*0.3,2)</f>
        <v>1109.77</v>
      </c>
      <c r="F57" s="75"/>
      <c r="G57" s="75"/>
      <c r="H57" s="75"/>
      <c r="I57" s="75"/>
      <c r="J57" s="75"/>
      <c r="K57" s="75"/>
      <c r="L57" s="210"/>
      <c r="M57" s="210"/>
      <c r="N57" s="210"/>
      <c r="O57" s="210"/>
      <c r="P57" s="210"/>
    </row>
    <row r="58" spans="1:16" x14ac:dyDescent="0.2">
      <c r="A58" s="59" t="str">
        <f>IF(COUNTBLANK(B58)=1," ",COUNTA(B$14:B58))</f>
        <v xml:space="preserve"> </v>
      </c>
      <c r="B58" s="59"/>
      <c r="C58" s="62" t="s">
        <v>461</v>
      </c>
      <c r="D58" s="108" t="s">
        <v>107</v>
      </c>
      <c r="E58" s="75">
        <f>ROUNDUP(E56*5,2)</f>
        <v>18496.05</v>
      </c>
      <c r="F58" s="75"/>
      <c r="G58" s="75"/>
      <c r="H58" s="75"/>
      <c r="I58" s="75"/>
      <c r="J58" s="75"/>
      <c r="K58" s="75"/>
      <c r="L58" s="210"/>
      <c r="M58" s="210"/>
      <c r="N58" s="210"/>
      <c r="O58" s="210"/>
      <c r="P58" s="210"/>
    </row>
    <row r="59" spans="1:16" x14ac:dyDescent="0.2">
      <c r="A59" s="83"/>
      <c r="B59" s="83"/>
      <c r="C59" s="141" t="s">
        <v>171</v>
      </c>
      <c r="D59" s="142" t="s">
        <v>100</v>
      </c>
      <c r="E59" s="80">
        <f>E57*2.2</f>
        <v>2441.4940000000001</v>
      </c>
      <c r="F59" s="80"/>
      <c r="G59" s="80"/>
      <c r="H59" s="80"/>
      <c r="I59" s="80"/>
      <c r="J59" s="80"/>
      <c r="K59" s="80"/>
      <c r="L59" s="222"/>
      <c r="M59" s="222"/>
      <c r="N59" s="222"/>
      <c r="O59" s="222"/>
      <c r="P59" s="222"/>
    </row>
    <row r="60" spans="1:16" ht="22.5" x14ac:dyDescent="0.2">
      <c r="A60" s="59" t="str">
        <f>IF(COUNTBLANK(B60)=1," ",COUNTA(B$14:B60))</f>
        <v xml:space="preserve"> </v>
      </c>
      <c r="B60" s="59"/>
      <c r="C60" s="62" t="s">
        <v>466</v>
      </c>
      <c r="D60" s="108" t="s">
        <v>107</v>
      </c>
      <c r="E60" s="75">
        <f>ROUNDUP(E56*3.7,2)</f>
        <v>13687.08</v>
      </c>
      <c r="F60" s="75"/>
      <c r="G60" s="75"/>
      <c r="H60" s="75"/>
      <c r="I60" s="75"/>
      <c r="J60" s="75"/>
      <c r="K60" s="75"/>
      <c r="L60" s="210"/>
      <c r="M60" s="210"/>
      <c r="N60" s="210"/>
      <c r="O60" s="210"/>
      <c r="P60" s="210"/>
    </row>
    <row r="61" spans="1:16" x14ac:dyDescent="0.2">
      <c r="A61" s="59" t="str">
        <f>IF(COUNTBLANK(B61)=1," ",COUNTA(B$14:B61))</f>
        <v xml:space="preserve"> </v>
      </c>
      <c r="B61" s="59"/>
      <c r="C61" s="62" t="s">
        <v>114</v>
      </c>
      <c r="D61" s="108" t="s">
        <v>115</v>
      </c>
      <c r="E61" s="75">
        <f>ROUNDUP(E56*0.1,0)</f>
        <v>370</v>
      </c>
      <c r="F61" s="75"/>
      <c r="G61" s="75"/>
      <c r="H61" s="75"/>
      <c r="I61" s="75"/>
      <c r="J61" s="75"/>
      <c r="K61" s="75"/>
      <c r="L61" s="210"/>
      <c r="M61" s="210"/>
      <c r="N61" s="210"/>
      <c r="O61" s="210"/>
      <c r="P61" s="210"/>
    </row>
    <row r="62" spans="1:16" ht="22.5" x14ac:dyDescent="0.2">
      <c r="A62" s="59"/>
      <c r="B62" s="60"/>
      <c r="C62" s="139" t="s">
        <v>116</v>
      </c>
      <c r="D62" s="59"/>
      <c r="E62" s="129"/>
      <c r="F62" s="75"/>
      <c r="G62" s="75"/>
      <c r="H62" s="75"/>
      <c r="I62" s="75"/>
      <c r="J62" s="75"/>
      <c r="K62" s="75"/>
      <c r="L62" s="210"/>
      <c r="M62" s="210"/>
      <c r="N62" s="210"/>
      <c r="O62" s="210"/>
      <c r="P62" s="210"/>
    </row>
    <row r="63" spans="1:16" x14ac:dyDescent="0.2">
      <c r="A63" s="59">
        <f>IF(COUNTBLANK(B63)=1," ",COUNTA(B$14:B63))</f>
        <v>20</v>
      </c>
      <c r="B63" s="60" t="s">
        <v>93</v>
      </c>
      <c r="C63" s="62" t="s">
        <v>454</v>
      </c>
      <c r="D63" s="59" t="s">
        <v>95</v>
      </c>
      <c r="E63" s="129">
        <f>apjomi!Q27</f>
        <v>1401.35</v>
      </c>
      <c r="F63" s="75"/>
      <c r="G63" s="75"/>
      <c r="H63" s="75"/>
      <c r="I63" s="75"/>
      <c r="J63" s="75"/>
      <c r="K63" s="75"/>
      <c r="L63" s="210"/>
      <c r="M63" s="210"/>
      <c r="N63" s="210"/>
      <c r="O63" s="210"/>
      <c r="P63" s="210"/>
    </row>
    <row r="64" spans="1:16" x14ac:dyDescent="0.2">
      <c r="A64" s="59">
        <f>IF(COUNTBLANK(B64)=1," ",COUNTA(B$14:B64))</f>
        <v>21</v>
      </c>
      <c r="B64" s="60" t="s">
        <v>93</v>
      </c>
      <c r="C64" s="62" t="s">
        <v>455</v>
      </c>
      <c r="D64" s="59" t="s">
        <v>95</v>
      </c>
      <c r="E64" s="129">
        <f>apjomi!R27</f>
        <v>1676.2299999999998</v>
      </c>
      <c r="F64" s="75"/>
      <c r="G64" s="75"/>
      <c r="H64" s="75"/>
      <c r="I64" s="75"/>
      <c r="J64" s="75"/>
      <c r="K64" s="75"/>
      <c r="L64" s="210"/>
      <c r="M64" s="210"/>
      <c r="N64" s="210"/>
      <c r="O64" s="210"/>
      <c r="P64" s="210"/>
    </row>
    <row r="65" spans="1:16" x14ac:dyDescent="0.2">
      <c r="A65" s="59">
        <f>IF(COUNTBLANK(B65)=1," ",COUNTA(B$14:B65))</f>
        <v>22</v>
      </c>
      <c r="B65" s="60" t="s">
        <v>93</v>
      </c>
      <c r="C65" s="62" t="s">
        <v>456</v>
      </c>
      <c r="D65" s="59" t="s">
        <v>95</v>
      </c>
      <c r="E65" s="129">
        <f>apjomi!S27</f>
        <v>542.93000000000006</v>
      </c>
      <c r="F65" s="75"/>
      <c r="G65" s="75"/>
      <c r="H65" s="75"/>
      <c r="I65" s="75"/>
      <c r="J65" s="75"/>
      <c r="K65" s="75"/>
      <c r="L65" s="210"/>
      <c r="M65" s="210"/>
      <c r="N65" s="210"/>
      <c r="O65" s="210"/>
      <c r="P65" s="210"/>
    </row>
    <row r="66" spans="1:16" x14ac:dyDescent="0.2">
      <c r="A66" s="59">
        <f>IF(COUNTBLANK(B66)=1," ",COUNTA(B$14:B66))</f>
        <v>23</v>
      </c>
      <c r="B66" s="60" t="s">
        <v>93</v>
      </c>
      <c r="C66" s="62" t="s">
        <v>457</v>
      </c>
      <c r="D66" s="59" t="s">
        <v>95</v>
      </c>
      <c r="E66" s="129">
        <f>apjomi!T27</f>
        <v>413.18000000000006</v>
      </c>
      <c r="F66" s="75"/>
      <c r="G66" s="75"/>
      <c r="H66" s="75"/>
      <c r="I66" s="75"/>
      <c r="J66" s="75"/>
      <c r="K66" s="75"/>
      <c r="L66" s="210"/>
      <c r="M66" s="210"/>
      <c r="N66" s="210"/>
      <c r="O66" s="210"/>
      <c r="P66" s="210"/>
    </row>
    <row r="67" spans="1:16" x14ac:dyDescent="0.2">
      <c r="A67" s="59">
        <f>IF(COUNTBLANK(B67)=1," ",COUNTA(B$14:B67))</f>
        <v>24</v>
      </c>
      <c r="B67" s="60" t="s">
        <v>93</v>
      </c>
      <c r="C67" s="137" t="s">
        <v>458</v>
      </c>
      <c r="D67" s="138" t="s">
        <v>95</v>
      </c>
      <c r="E67" s="190">
        <v>67.599999999999994</v>
      </c>
      <c r="F67" s="75"/>
      <c r="G67" s="75"/>
      <c r="H67" s="75"/>
      <c r="I67" s="75"/>
      <c r="J67" s="75"/>
      <c r="K67" s="75"/>
      <c r="L67" s="210"/>
      <c r="M67" s="210"/>
      <c r="N67" s="210"/>
      <c r="O67" s="210"/>
      <c r="P67" s="210"/>
    </row>
    <row r="68" spans="1:16" x14ac:dyDescent="0.2">
      <c r="A68" s="59">
        <f>IF(COUNTBLANK(B68)=1," ",COUNTA(B$14:B68))</f>
        <v>25</v>
      </c>
      <c r="B68" s="60" t="s">
        <v>93</v>
      </c>
      <c r="C68" s="136" t="s">
        <v>468</v>
      </c>
      <c r="D68" s="123" t="s">
        <v>97</v>
      </c>
      <c r="E68" s="191">
        <f>apjomi!E4+apjomi!E6+apjomi!E8+apjomi!E10+(apjomi!E12+apjomi!E13+apjomi!E14+apjomi!E15+apjomi!E16+apjomi!E17+apjomi!E18+apjomi!E19+apjomi!E20)*2</f>
        <v>478</v>
      </c>
      <c r="F68" s="75"/>
      <c r="G68" s="75"/>
      <c r="H68" s="75"/>
      <c r="I68" s="75"/>
      <c r="J68" s="75"/>
      <c r="K68" s="75"/>
      <c r="L68" s="210"/>
      <c r="M68" s="210"/>
      <c r="N68" s="210"/>
      <c r="O68" s="210"/>
      <c r="P68" s="210"/>
    </row>
    <row r="69" spans="1:16" x14ac:dyDescent="0.2">
      <c r="A69" s="59">
        <f>IF(COUNTBLANK(B69)=1," ",COUNTA(B$14:B69))</f>
        <v>26</v>
      </c>
      <c r="B69" s="60" t="s">
        <v>93</v>
      </c>
      <c r="C69" s="62" t="s">
        <v>117</v>
      </c>
      <c r="D69" s="114" t="s">
        <v>95</v>
      </c>
      <c r="E69" s="129">
        <v>487</v>
      </c>
      <c r="F69" s="75"/>
      <c r="G69" s="75"/>
      <c r="H69" s="75"/>
      <c r="I69" s="75"/>
      <c r="J69" s="75"/>
      <c r="K69" s="75"/>
      <c r="L69" s="210"/>
      <c r="M69" s="210"/>
      <c r="N69" s="210"/>
      <c r="O69" s="210"/>
      <c r="P69" s="210"/>
    </row>
    <row r="70" spans="1:16" ht="22.5" x14ac:dyDescent="0.2">
      <c r="A70" s="159">
        <f>IF(COUNTBLANK(B70)=1," ",COUNTA(B$14:B70))</f>
        <v>27</v>
      </c>
      <c r="B70" s="160" t="s">
        <v>93</v>
      </c>
      <c r="C70" s="161" t="s">
        <v>172</v>
      </c>
      <c r="D70" s="162" t="s">
        <v>95</v>
      </c>
      <c r="E70" s="192">
        <v>874.5</v>
      </c>
      <c r="F70" s="223"/>
      <c r="G70" s="223"/>
      <c r="H70" s="223"/>
      <c r="I70" s="223"/>
      <c r="J70" s="223"/>
      <c r="K70" s="223"/>
      <c r="L70" s="224"/>
      <c r="M70" s="224"/>
      <c r="N70" s="224"/>
      <c r="O70" s="224"/>
      <c r="P70" s="224"/>
    </row>
    <row r="71" spans="1:16" x14ac:dyDescent="0.2">
      <c r="A71" s="59">
        <f>IF(COUNTBLANK(B71)=1," ",COUNTA(B$14:B71))</f>
        <v>28</v>
      </c>
      <c r="B71" s="60" t="s">
        <v>93</v>
      </c>
      <c r="C71" s="62" t="s">
        <v>118</v>
      </c>
      <c r="D71" s="75" t="s">
        <v>110</v>
      </c>
      <c r="E71" s="109">
        <v>1</v>
      </c>
      <c r="F71" s="75"/>
      <c r="G71" s="75"/>
      <c r="H71" s="75"/>
      <c r="I71" s="75"/>
      <c r="J71" s="75"/>
      <c r="K71" s="75"/>
      <c r="L71" s="210"/>
      <c r="M71" s="210"/>
      <c r="N71" s="210"/>
      <c r="O71" s="210"/>
      <c r="P71" s="210"/>
    </row>
    <row r="72" spans="1:16" x14ac:dyDescent="0.2">
      <c r="A72" s="59">
        <f>IF(COUNTBLANK(B72)=1," ",COUNTA(B$14:B72))</f>
        <v>29</v>
      </c>
      <c r="B72" s="60" t="s">
        <v>93</v>
      </c>
      <c r="C72" s="62" t="s">
        <v>119</v>
      </c>
      <c r="D72" s="59" t="s">
        <v>120</v>
      </c>
      <c r="E72" s="75">
        <v>50</v>
      </c>
      <c r="F72" s="75"/>
      <c r="G72" s="75"/>
      <c r="H72" s="225"/>
      <c r="I72" s="59"/>
      <c r="J72" s="75"/>
      <c r="K72" s="75"/>
      <c r="L72" s="210"/>
      <c r="M72" s="210"/>
      <c r="N72" s="210"/>
      <c r="O72" s="210"/>
      <c r="P72" s="210"/>
    </row>
    <row r="73" spans="1:16" x14ac:dyDescent="0.2">
      <c r="A73" s="59" t="str">
        <f>IF(COUNTBLANK(B73)=1," ",COUNTA(B$14:B73))</f>
        <v xml:space="preserve"> </v>
      </c>
      <c r="B73" s="60"/>
      <c r="C73" s="62" t="s">
        <v>121</v>
      </c>
      <c r="D73" s="59" t="s">
        <v>97</v>
      </c>
      <c r="E73" s="75">
        <f>E72*0.14</f>
        <v>7.0000000000000009</v>
      </c>
      <c r="F73" s="75"/>
      <c r="G73" s="75"/>
      <c r="H73" s="225"/>
      <c r="I73" s="59"/>
      <c r="J73" s="75"/>
      <c r="K73" s="75"/>
      <c r="L73" s="210"/>
      <c r="M73" s="210"/>
      <c r="N73" s="210"/>
      <c r="O73" s="210"/>
      <c r="P73" s="210"/>
    </row>
    <row r="74" spans="1:16" ht="22.5" x14ac:dyDescent="0.2">
      <c r="A74" s="59">
        <f>IF(COUNTBLANK(B74)=1," ",COUNTA(B$14:B74))</f>
        <v>30</v>
      </c>
      <c r="B74" s="60" t="s">
        <v>93</v>
      </c>
      <c r="C74" s="62" t="s">
        <v>469</v>
      </c>
      <c r="D74" s="59" t="s">
        <v>120</v>
      </c>
      <c r="E74" s="75">
        <f>2.27*0.2*2</f>
        <v>0.90800000000000003</v>
      </c>
      <c r="F74" s="75"/>
      <c r="G74" s="75"/>
      <c r="H74" s="225"/>
      <c r="I74" s="59"/>
      <c r="J74" s="75"/>
      <c r="K74" s="75"/>
      <c r="L74" s="210"/>
      <c r="M74" s="210"/>
      <c r="N74" s="210"/>
      <c r="O74" s="210"/>
      <c r="P74" s="210"/>
    </row>
    <row r="75" spans="1:16" x14ac:dyDescent="0.2">
      <c r="A75" s="59">
        <f>IF(COUNTBLANK(B75)=1," ",COUNTA(B$14:B75))</f>
        <v>31</v>
      </c>
      <c r="B75" s="60" t="s">
        <v>93</v>
      </c>
      <c r="C75" s="62" t="s">
        <v>272</v>
      </c>
      <c r="D75" s="59" t="s">
        <v>97</v>
      </c>
      <c r="E75" s="75">
        <v>2</v>
      </c>
      <c r="F75" s="75"/>
      <c r="G75" s="75"/>
      <c r="H75" s="225"/>
      <c r="I75" s="59"/>
      <c r="J75" s="75"/>
      <c r="K75" s="75"/>
      <c r="L75" s="210"/>
      <c r="M75" s="210"/>
      <c r="N75" s="210"/>
      <c r="O75" s="210"/>
      <c r="P75" s="210"/>
    </row>
    <row r="76" spans="1:16" ht="22.5" x14ac:dyDescent="0.2">
      <c r="A76" s="59">
        <f t="shared" ref="A76" si="0">IF(COUNTBLANK(B76)=1," ",COUNTA(B$12:B76))</f>
        <v>33</v>
      </c>
      <c r="B76" s="163" t="s">
        <v>93</v>
      </c>
      <c r="C76" s="61" t="s">
        <v>276</v>
      </c>
      <c r="D76" s="59" t="s">
        <v>100</v>
      </c>
      <c r="E76" s="75">
        <v>737.5</v>
      </c>
      <c r="F76" s="75"/>
      <c r="G76" s="75"/>
      <c r="H76" s="225"/>
      <c r="I76" s="59"/>
      <c r="J76" s="75"/>
      <c r="K76" s="75"/>
      <c r="L76" s="210"/>
      <c r="M76" s="210"/>
      <c r="N76" s="210"/>
      <c r="O76" s="210"/>
      <c r="P76" s="210"/>
    </row>
    <row r="77" spans="1:16" x14ac:dyDescent="0.2">
      <c r="A77" s="59"/>
      <c r="B77" s="163"/>
      <c r="C77" s="164" t="s">
        <v>275</v>
      </c>
      <c r="D77" s="101" t="s">
        <v>273</v>
      </c>
      <c r="E77" s="95">
        <f>E76*0.4</f>
        <v>295</v>
      </c>
      <c r="F77" s="75"/>
      <c r="G77" s="75"/>
      <c r="H77" s="225"/>
      <c r="I77" s="59"/>
      <c r="J77" s="75"/>
      <c r="K77" s="75"/>
      <c r="L77" s="210"/>
      <c r="M77" s="210"/>
      <c r="N77" s="210"/>
      <c r="O77" s="210"/>
      <c r="P77" s="210"/>
    </row>
    <row r="78" spans="1:16" x14ac:dyDescent="0.2">
      <c r="A78" s="59"/>
      <c r="B78" s="60"/>
      <c r="C78" s="62" t="s">
        <v>274</v>
      </c>
      <c r="D78" s="59" t="s">
        <v>107</v>
      </c>
      <c r="E78" s="75">
        <f>E76*5</f>
        <v>3687.5</v>
      </c>
      <c r="F78" s="75"/>
      <c r="G78" s="75"/>
      <c r="H78" s="225"/>
      <c r="I78" s="59"/>
      <c r="J78" s="75"/>
      <c r="K78" s="75"/>
      <c r="L78" s="210"/>
      <c r="M78" s="210"/>
      <c r="N78" s="210"/>
      <c r="O78" s="210"/>
      <c r="P78" s="210"/>
    </row>
    <row r="79" spans="1:16" ht="12" thickBot="1" x14ac:dyDescent="0.25">
      <c r="A79" s="360" t="s">
        <v>545</v>
      </c>
      <c r="B79" s="361"/>
      <c r="C79" s="361"/>
      <c r="D79" s="361"/>
      <c r="E79" s="361"/>
      <c r="F79" s="361"/>
      <c r="G79" s="361"/>
      <c r="H79" s="361"/>
      <c r="I79" s="361"/>
      <c r="J79" s="361"/>
      <c r="K79" s="362"/>
      <c r="L79" s="226">
        <f>SUM(L14:L74)</f>
        <v>0</v>
      </c>
      <c r="M79" s="226">
        <f>SUM(M14:M74)</f>
        <v>0</v>
      </c>
      <c r="N79" s="226">
        <f>SUM(N14:N74)</f>
        <v>0</v>
      </c>
      <c r="O79" s="226">
        <f>SUM(O14:O74)</f>
        <v>0</v>
      </c>
      <c r="P79" s="226">
        <f>SUM(P14:P74)</f>
        <v>0</v>
      </c>
    </row>
    <row r="80" spans="1:16" x14ac:dyDescent="0.2">
      <c r="A80" s="173"/>
      <c r="B80" s="173"/>
      <c r="C80" s="173"/>
      <c r="D80" s="173"/>
      <c r="E80" s="173"/>
      <c r="F80" s="173"/>
      <c r="G80" s="173"/>
      <c r="H80" s="173"/>
      <c r="I80" s="173"/>
      <c r="J80" s="173"/>
      <c r="K80" s="173"/>
      <c r="L80" s="173"/>
      <c r="M80" s="173"/>
      <c r="N80" s="173"/>
      <c r="O80" s="173"/>
      <c r="P80" s="173"/>
    </row>
    <row r="81" spans="1:16" x14ac:dyDescent="0.2">
      <c r="A81" s="173"/>
      <c r="B81" s="173"/>
      <c r="C81" s="173"/>
      <c r="D81" s="173"/>
      <c r="E81" s="173"/>
      <c r="F81" s="173"/>
      <c r="G81" s="173"/>
      <c r="H81" s="173"/>
      <c r="I81" s="173"/>
      <c r="J81" s="173"/>
      <c r="K81" s="173"/>
      <c r="L81" s="173"/>
      <c r="M81" s="173"/>
      <c r="N81" s="173"/>
      <c r="O81" s="173"/>
      <c r="P81" s="173"/>
    </row>
    <row r="82" spans="1:16" x14ac:dyDescent="0.2">
      <c r="A82" s="174" t="s">
        <v>14</v>
      </c>
      <c r="B82" s="173"/>
      <c r="C82" s="358">
        <f>'Kops a'!C34:H34</f>
        <v>0</v>
      </c>
      <c r="D82" s="358"/>
      <c r="E82" s="358"/>
      <c r="F82" s="358"/>
      <c r="G82" s="358"/>
      <c r="H82" s="358"/>
      <c r="I82" s="173"/>
      <c r="J82" s="173"/>
      <c r="K82" s="173"/>
      <c r="L82" s="173"/>
      <c r="M82" s="173"/>
      <c r="N82" s="173"/>
      <c r="O82" s="173"/>
      <c r="P82" s="173"/>
    </row>
    <row r="83" spans="1:16" x14ac:dyDescent="0.2">
      <c r="A83" s="173"/>
      <c r="B83" s="173"/>
      <c r="C83" s="359" t="s">
        <v>15</v>
      </c>
      <c r="D83" s="359"/>
      <c r="E83" s="359"/>
      <c r="F83" s="359"/>
      <c r="G83" s="359"/>
      <c r="H83" s="359"/>
      <c r="I83" s="173"/>
      <c r="J83" s="173"/>
      <c r="K83" s="173"/>
      <c r="L83" s="173"/>
      <c r="M83" s="173"/>
      <c r="N83" s="173"/>
      <c r="O83" s="173"/>
      <c r="P83" s="173"/>
    </row>
    <row r="84" spans="1:16" x14ac:dyDescent="0.2">
      <c r="A84" s="173"/>
      <c r="B84" s="173"/>
      <c r="C84" s="173"/>
      <c r="D84" s="173"/>
      <c r="E84" s="173"/>
      <c r="F84" s="173"/>
      <c r="G84" s="173"/>
      <c r="H84" s="173"/>
      <c r="I84" s="173"/>
      <c r="J84" s="173"/>
      <c r="K84" s="173"/>
      <c r="L84" s="173"/>
      <c r="M84" s="173"/>
      <c r="N84" s="173"/>
      <c r="O84" s="173"/>
      <c r="P84" s="173"/>
    </row>
    <row r="85" spans="1:16" x14ac:dyDescent="0.2">
      <c r="A85" s="227" t="str">
        <f>'Kops a'!A37</f>
        <v>Tāme sastādīta 2021. gada</v>
      </c>
      <c r="B85" s="228"/>
      <c r="C85" s="228"/>
      <c r="D85" s="228"/>
      <c r="E85" s="173"/>
      <c r="F85" s="173"/>
      <c r="G85" s="173"/>
      <c r="H85" s="173"/>
      <c r="I85" s="173"/>
      <c r="J85" s="173"/>
      <c r="K85" s="173"/>
      <c r="L85" s="173"/>
      <c r="M85" s="173"/>
      <c r="N85" s="173"/>
      <c r="O85" s="173"/>
      <c r="P85" s="173"/>
    </row>
    <row r="86" spans="1:16" x14ac:dyDescent="0.2">
      <c r="A86" s="173"/>
      <c r="B86" s="173"/>
      <c r="C86" s="173"/>
      <c r="D86" s="173"/>
      <c r="E86" s="173"/>
      <c r="F86" s="173"/>
      <c r="G86" s="173"/>
      <c r="H86" s="173"/>
      <c r="I86" s="173"/>
      <c r="J86" s="173"/>
      <c r="K86" s="173"/>
      <c r="L86" s="173"/>
      <c r="M86" s="173"/>
      <c r="N86" s="173"/>
      <c r="O86" s="173"/>
      <c r="P86" s="173"/>
    </row>
    <row r="87" spans="1:16" x14ac:dyDescent="0.2">
      <c r="A87" s="174" t="s">
        <v>37</v>
      </c>
      <c r="B87" s="173"/>
      <c r="C87" s="358">
        <f>'Kops a'!C39:H39</f>
        <v>0</v>
      </c>
      <c r="D87" s="358"/>
      <c r="E87" s="358"/>
      <c r="F87" s="358"/>
      <c r="G87" s="358"/>
      <c r="H87" s="358"/>
      <c r="I87" s="173"/>
      <c r="J87" s="173"/>
      <c r="K87" s="173"/>
      <c r="L87" s="173"/>
      <c r="M87" s="173"/>
      <c r="N87" s="173"/>
      <c r="O87" s="173"/>
      <c r="P87" s="173"/>
    </row>
    <row r="88" spans="1:16" x14ac:dyDescent="0.2">
      <c r="A88" s="173"/>
      <c r="B88" s="173"/>
      <c r="C88" s="359" t="s">
        <v>15</v>
      </c>
      <c r="D88" s="359"/>
      <c r="E88" s="359"/>
      <c r="F88" s="359"/>
      <c r="G88" s="359"/>
      <c r="H88" s="359"/>
      <c r="I88" s="173"/>
      <c r="J88" s="173"/>
      <c r="K88" s="173"/>
      <c r="L88" s="173"/>
      <c r="M88" s="173"/>
      <c r="N88" s="173"/>
      <c r="O88" s="173"/>
      <c r="P88" s="173"/>
    </row>
    <row r="89" spans="1:16" x14ac:dyDescent="0.2">
      <c r="A89" s="173"/>
      <c r="B89" s="173"/>
      <c r="C89" s="173"/>
      <c r="D89" s="173"/>
      <c r="E89" s="173"/>
      <c r="F89" s="173"/>
      <c r="G89" s="173"/>
      <c r="H89" s="173"/>
      <c r="I89" s="173"/>
      <c r="J89" s="173"/>
      <c r="K89" s="173"/>
      <c r="L89" s="173"/>
      <c r="M89" s="173"/>
      <c r="N89" s="173"/>
      <c r="O89" s="173"/>
      <c r="P89" s="173"/>
    </row>
    <row r="90" spans="1:16" x14ac:dyDescent="0.2">
      <c r="A90" s="227" t="s">
        <v>54</v>
      </c>
      <c r="B90" s="228"/>
      <c r="C90" s="229">
        <f>'Kops a'!C42</f>
        <v>0</v>
      </c>
      <c r="D90" s="230"/>
      <c r="E90" s="173"/>
      <c r="F90" s="173"/>
      <c r="G90" s="173"/>
      <c r="H90" s="173"/>
      <c r="I90" s="173"/>
      <c r="J90" s="173"/>
      <c r="K90" s="173"/>
      <c r="L90" s="173"/>
      <c r="M90" s="173"/>
      <c r="N90" s="173"/>
      <c r="O90" s="173"/>
      <c r="P90" s="173"/>
    </row>
    <row r="91" spans="1:16" x14ac:dyDescent="0.2">
      <c r="A91" s="173"/>
      <c r="B91" s="173"/>
      <c r="C91" s="173"/>
      <c r="D91" s="173"/>
      <c r="E91" s="173"/>
      <c r="F91" s="173"/>
      <c r="G91" s="173"/>
      <c r="H91" s="173"/>
      <c r="I91" s="173"/>
      <c r="J91" s="173"/>
      <c r="K91" s="173"/>
      <c r="L91" s="173"/>
      <c r="M91" s="173"/>
      <c r="N91" s="173"/>
      <c r="O91" s="173"/>
      <c r="P91" s="173"/>
    </row>
    <row r="92" spans="1:16" x14ac:dyDescent="0.2">
      <c r="A92" s="231" t="s">
        <v>63</v>
      </c>
      <c r="B92" s="173"/>
      <c r="E92" s="167"/>
      <c r="F92" s="232"/>
      <c r="G92" s="167"/>
      <c r="H92" s="233"/>
      <c r="I92" s="233"/>
      <c r="J92" s="234"/>
      <c r="K92" s="235"/>
      <c r="L92" s="235"/>
      <c r="M92" s="235"/>
      <c r="N92" s="235"/>
      <c r="O92" s="235"/>
    </row>
    <row r="93" spans="1:16" x14ac:dyDescent="0.2">
      <c r="A93" s="357" t="s">
        <v>64</v>
      </c>
      <c r="B93" s="357"/>
      <c r="C93" s="357"/>
      <c r="D93" s="357"/>
      <c r="E93" s="357"/>
      <c r="F93" s="357"/>
      <c r="G93" s="357"/>
      <c r="H93" s="357"/>
      <c r="I93" s="357"/>
      <c r="J93" s="357"/>
      <c r="K93" s="357"/>
      <c r="L93" s="357"/>
      <c r="M93" s="357"/>
      <c r="N93" s="357"/>
      <c r="O93" s="357"/>
    </row>
    <row r="94" spans="1:16" x14ac:dyDescent="0.2">
      <c r="A94" s="357" t="s">
        <v>65</v>
      </c>
      <c r="B94" s="357"/>
      <c r="C94" s="357"/>
      <c r="D94" s="357"/>
      <c r="E94" s="357"/>
      <c r="F94" s="357"/>
      <c r="G94" s="357"/>
      <c r="H94" s="357"/>
      <c r="I94" s="357"/>
      <c r="J94" s="357"/>
      <c r="K94" s="357"/>
      <c r="L94" s="357"/>
      <c r="M94" s="357"/>
      <c r="N94" s="357"/>
      <c r="O94" s="357"/>
    </row>
  </sheetData>
  <mergeCells count="24">
    <mergeCell ref="D6:L6"/>
    <mergeCell ref="C88:H88"/>
    <mergeCell ref="A79:K79"/>
    <mergeCell ref="A93:O93"/>
    <mergeCell ref="A94:O94"/>
    <mergeCell ref="C87:H87"/>
    <mergeCell ref="C82:H82"/>
    <mergeCell ref="C83:H83"/>
    <mergeCell ref="C2:I2"/>
    <mergeCell ref="C3:I3"/>
    <mergeCell ref="C4:I4"/>
    <mergeCell ref="A9:F9"/>
    <mergeCell ref="F12:K12"/>
    <mergeCell ref="J9:M9"/>
    <mergeCell ref="L12:P12"/>
    <mergeCell ref="A12:A13"/>
    <mergeCell ref="B12:B13"/>
    <mergeCell ref="C12:C13"/>
    <mergeCell ref="D12:D13"/>
    <mergeCell ref="N9:O9"/>
    <mergeCell ref="D5:L5"/>
    <mergeCell ref="D7:L7"/>
    <mergeCell ref="D8:L8"/>
    <mergeCell ref="E12:E13"/>
  </mergeCells>
  <phoneticPr fontId="25" type="noConversion"/>
  <conditionalFormatting sqref="I35:J55 A35:G55 I14:J21 A14:G21 I62:J78 A22:E22 I23:J33 A23:G29 C30:G33 A62:G75 A78:G78 F76:G77 A30:A33">
    <cfRule type="cellIs" dxfId="197" priority="32" operator="equal">
      <formula>0</formula>
    </cfRule>
  </conditionalFormatting>
  <conditionalFormatting sqref="N9:O9 K35:P55 H35:H55 H14:H21 K14:P21 H62:H78 K62:P78 K23:P33 H23:H33">
    <cfRule type="cellIs" dxfId="196" priority="30" operator="equal">
      <formula>0</formula>
    </cfRule>
  </conditionalFormatting>
  <conditionalFormatting sqref="A9:F9">
    <cfRule type="containsText" dxfId="195" priority="28"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94" priority="27" operator="equal">
      <formula>0</formula>
    </cfRule>
  </conditionalFormatting>
  <conditionalFormatting sqref="O10:P10">
    <cfRule type="cellIs" dxfId="193" priority="26" operator="equal">
      <formula>"20__. gada __. _________"</formula>
    </cfRule>
  </conditionalFormatting>
  <conditionalFormatting sqref="A79:K79">
    <cfRule type="containsText" dxfId="192" priority="24" operator="containsText" text="Tiešās izmaksas kopā, t. sk. darba devēja sociālais nodoklis __.__% ">
      <formula>NOT(ISERROR(SEARCH("Tiešās izmaksas kopā, t. sk. darba devēja sociālais nodoklis __.__% ",A79)))</formula>
    </cfRule>
  </conditionalFormatting>
  <conditionalFormatting sqref="C87:H87">
    <cfRule type="cellIs" dxfId="191" priority="21" operator="equal">
      <formula>0</formula>
    </cfRule>
  </conditionalFormatting>
  <conditionalFormatting sqref="C82:H82">
    <cfRule type="cellIs" dxfId="190" priority="20" operator="equal">
      <formula>0</formula>
    </cfRule>
  </conditionalFormatting>
  <conditionalFormatting sqref="L79:P79">
    <cfRule type="cellIs" dxfId="189" priority="19" operator="equal">
      <formula>0</formula>
    </cfRule>
  </conditionalFormatting>
  <conditionalFormatting sqref="C4:I4">
    <cfRule type="cellIs" dxfId="188" priority="18" operator="equal">
      <formula>0</formula>
    </cfRule>
  </conditionalFormatting>
  <conditionalFormatting sqref="D5:L8">
    <cfRule type="cellIs" dxfId="187" priority="16" operator="equal">
      <formula>0</formula>
    </cfRule>
  </conditionalFormatting>
  <conditionalFormatting sqref="C87:H87 C90 C82:H82">
    <cfRule type="cellIs" dxfId="186" priority="15" operator="equal">
      <formula>0</formula>
    </cfRule>
  </conditionalFormatting>
  <conditionalFormatting sqref="D1">
    <cfRule type="cellIs" dxfId="185" priority="14" operator="equal">
      <formula>0</formula>
    </cfRule>
  </conditionalFormatting>
  <conditionalFormatting sqref="A34:G34 I34:J34">
    <cfRule type="cellIs" dxfId="184" priority="13" operator="equal">
      <formula>0</formula>
    </cfRule>
  </conditionalFormatting>
  <conditionalFormatting sqref="K34:P34 H34">
    <cfRule type="cellIs" dxfId="183" priority="12" operator="equal">
      <formula>0</formula>
    </cfRule>
  </conditionalFormatting>
  <conditionalFormatting sqref="I56:J61 A56:G58 A60:G61 A59:B59 F59:G59">
    <cfRule type="cellIs" dxfId="182" priority="11" operator="equal">
      <formula>0</formula>
    </cfRule>
  </conditionalFormatting>
  <conditionalFormatting sqref="K56:P61 H56:H61">
    <cfRule type="cellIs" dxfId="181" priority="10" operator="equal">
      <formula>0</formula>
    </cfRule>
  </conditionalFormatting>
  <conditionalFormatting sqref="C59:E59">
    <cfRule type="cellIs" dxfId="180" priority="9" operator="equal">
      <formula>0</formula>
    </cfRule>
  </conditionalFormatting>
  <conditionalFormatting sqref="I22:J22 F22:G22">
    <cfRule type="cellIs" dxfId="179" priority="6" operator="equal">
      <formula>0</formula>
    </cfRule>
  </conditionalFormatting>
  <conditionalFormatting sqref="K22:P22 H22">
    <cfRule type="cellIs" dxfId="178" priority="5" operator="equal">
      <formula>0</formula>
    </cfRule>
  </conditionalFormatting>
  <conditionalFormatting sqref="B33">
    <cfRule type="cellIs" dxfId="177" priority="4" operator="equal">
      <formula>0</formula>
    </cfRule>
  </conditionalFormatting>
  <conditionalFormatting sqref="B32">
    <cfRule type="cellIs" dxfId="176" priority="3" operator="equal">
      <formula>0</formula>
    </cfRule>
  </conditionalFormatting>
  <conditionalFormatting sqref="B31">
    <cfRule type="cellIs" dxfId="175" priority="2" operator="equal">
      <formula>0</formula>
    </cfRule>
  </conditionalFormatting>
  <conditionalFormatting sqref="B30">
    <cfRule type="cellIs" dxfId="174" priority="1" operator="equal">
      <formula>0</formula>
    </cfRule>
  </conditionalFormatting>
  <pageMargins left="0.7" right="0.7" top="0.75" bottom="0.75" header="0.3" footer="0.3"/>
  <pageSetup paperSize="9" scale="89" fitToHeight="0" orientation="landscape" r:id="rId1"/>
  <headerFooter>
    <oddFooter>&amp;R&amp;P</oddFooter>
  </headerFooter>
  <rowBreaks count="3" manualBreakCount="3">
    <brk id="31" max="15" man="1"/>
    <brk id="49" max="16383" man="1"/>
    <brk id="75" max="16383" man="1"/>
  </rowBreaks>
  <legacyDrawing r:id="rId2"/>
  <extLst>
    <ext xmlns:x14="http://schemas.microsoft.com/office/spreadsheetml/2009/9/main" uri="{78C0D931-6437-407d-A8EE-F0AAD7539E65}">
      <x14:conditionalFormattings>
        <x14:conditionalFormatting xmlns:xm="http://schemas.microsoft.com/office/excel/2006/main">
          <x14:cfRule type="containsText" priority="23" operator="containsText" id="{BC596309-6EE4-47E0-A590-F3D2F6DA868B}">
            <xm:f>NOT(ISERROR(SEARCH("Tāme sastādīta ____. gada ___. ______________",A85)))</xm:f>
            <xm:f>"Tāme sastādīta ____. gada ___. ______________"</xm:f>
            <x14:dxf>
              <font>
                <color auto="1"/>
              </font>
              <fill>
                <patternFill>
                  <bgColor rgb="FFC6EFCE"/>
                </patternFill>
              </fill>
            </x14:dxf>
          </x14:cfRule>
          <xm:sqref>A85</xm:sqref>
        </x14:conditionalFormatting>
        <x14:conditionalFormatting xmlns:xm="http://schemas.microsoft.com/office/excel/2006/main">
          <x14:cfRule type="containsText" priority="22" operator="containsText" id="{A5053C80-E745-4777-A201-BBBD02E74FC0}">
            <xm:f>NOT(ISERROR(SEARCH("Sertifikāta Nr. _________________________________",A90)))</xm:f>
            <xm:f>"Sertifikāta Nr. _________________________________"</xm:f>
            <x14:dxf>
              <font>
                <color auto="1"/>
              </font>
              <fill>
                <patternFill>
                  <bgColor rgb="FFC6EFCE"/>
                </patternFill>
              </fill>
            </x14:dxf>
          </x14:cfRule>
          <xm:sqref>A90</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5757"/>
    <pageSetUpPr fitToPage="1"/>
  </sheetPr>
  <dimension ref="A1:R77"/>
  <sheetViews>
    <sheetView view="pageBreakPreview" topLeftCell="A49" zoomScale="115" zoomScaleNormal="100" zoomScaleSheetLayoutView="115" workbookViewId="0">
      <selection activeCell="A10" sqref="A10"/>
    </sheetView>
  </sheetViews>
  <sheetFormatPr defaultColWidth="9.140625" defaultRowHeight="11.25" x14ac:dyDescent="0.2"/>
  <cols>
    <col min="1" max="1" width="4.5703125" style="174" customWidth="1"/>
    <col min="2" max="2" width="5.28515625" style="174" customWidth="1"/>
    <col min="3" max="3" width="38.42578125" style="174" customWidth="1"/>
    <col min="4" max="4" width="5.85546875" style="174" customWidth="1"/>
    <col min="5" max="5" width="8.7109375" style="174" customWidth="1"/>
    <col min="6" max="6" width="5.42578125" style="174" customWidth="1"/>
    <col min="7" max="7" width="4.85546875" style="174" customWidth="1"/>
    <col min="8" max="10" width="6.7109375" style="174" customWidth="1"/>
    <col min="11" max="11" width="7" style="174" customWidth="1"/>
    <col min="12" max="12" width="7.7109375" style="174" customWidth="1"/>
    <col min="13" max="13" width="8.7109375" style="174" customWidth="1"/>
    <col min="14" max="14" width="7.7109375" style="174" customWidth="1"/>
    <col min="15" max="15" width="4.42578125" style="174" bestFit="1" customWidth="1"/>
    <col min="16" max="16" width="24.85546875" style="174" bestFit="1" customWidth="1"/>
    <col min="17" max="16384" width="9.140625" style="174"/>
  </cols>
  <sheetData>
    <row r="1" spans="1:18" x14ac:dyDescent="0.2">
      <c r="A1" s="167"/>
      <c r="B1" s="167"/>
      <c r="C1" s="194" t="s">
        <v>38</v>
      </c>
      <c r="D1" s="195">
        <f>'Kops a'!A16</f>
        <v>2</v>
      </c>
      <c r="E1" s="167"/>
      <c r="F1" s="167"/>
      <c r="G1" s="167"/>
      <c r="H1" s="167"/>
      <c r="I1" s="167"/>
      <c r="J1" s="167"/>
      <c r="N1" s="196"/>
      <c r="O1" s="194"/>
      <c r="P1" s="197"/>
    </row>
    <row r="2" spans="1:18" x14ac:dyDescent="0.2">
      <c r="A2" s="198"/>
      <c r="B2" s="198"/>
      <c r="C2" s="338" t="s">
        <v>91</v>
      </c>
      <c r="D2" s="338"/>
      <c r="E2" s="338"/>
      <c r="F2" s="338"/>
      <c r="G2" s="338"/>
      <c r="H2" s="338"/>
      <c r="I2" s="338"/>
      <c r="J2" s="198"/>
    </row>
    <row r="3" spans="1:18" x14ac:dyDescent="0.2">
      <c r="A3" s="199"/>
      <c r="B3" s="199"/>
      <c r="C3" s="339" t="s">
        <v>17</v>
      </c>
      <c r="D3" s="339"/>
      <c r="E3" s="339"/>
      <c r="F3" s="339"/>
      <c r="G3" s="339"/>
      <c r="H3" s="339"/>
      <c r="I3" s="339"/>
      <c r="J3" s="199"/>
    </row>
    <row r="4" spans="1:18" x14ac:dyDescent="0.2">
      <c r="A4" s="199"/>
      <c r="B4" s="199"/>
      <c r="C4" s="340" t="s">
        <v>52</v>
      </c>
      <c r="D4" s="340"/>
      <c r="E4" s="340"/>
      <c r="F4" s="340"/>
      <c r="G4" s="340"/>
      <c r="H4" s="340"/>
      <c r="I4" s="340"/>
      <c r="J4" s="199"/>
    </row>
    <row r="5" spans="1:18" x14ac:dyDescent="0.2">
      <c r="A5" s="167"/>
      <c r="B5" s="167"/>
      <c r="C5" s="194" t="s">
        <v>5</v>
      </c>
      <c r="D5" s="354" t="str">
        <f>'Kops a'!D6</f>
        <v>Dzīvojamās ēkas vienkāršotā atjaunošana</v>
      </c>
      <c r="E5" s="354"/>
      <c r="F5" s="354"/>
      <c r="G5" s="354"/>
      <c r="H5" s="354"/>
      <c r="I5" s="354"/>
      <c r="J5" s="354"/>
      <c r="K5" s="354"/>
      <c r="L5" s="354"/>
      <c r="M5" s="173"/>
      <c r="N5" s="173"/>
      <c r="O5" s="173"/>
      <c r="P5" s="173"/>
    </row>
    <row r="6" spans="1:18" x14ac:dyDescent="0.2">
      <c r="A6" s="167"/>
      <c r="B6" s="167"/>
      <c r="C6" s="194" t="s">
        <v>6</v>
      </c>
      <c r="D6" s="354" t="str">
        <f>'Kops a'!D7</f>
        <v>Daudzdzīvokļu dzīvojamās ēkas energoefektivitātes paaugstināšanas pasākumi</v>
      </c>
      <c r="E6" s="354"/>
      <c r="F6" s="354"/>
      <c r="G6" s="354"/>
      <c r="H6" s="354"/>
      <c r="I6" s="354"/>
      <c r="J6" s="354"/>
      <c r="K6" s="354"/>
      <c r="L6" s="354"/>
      <c r="M6" s="173"/>
      <c r="N6" s="173"/>
      <c r="O6" s="173"/>
      <c r="P6" s="173"/>
    </row>
    <row r="7" spans="1:18" x14ac:dyDescent="0.2">
      <c r="A7" s="167"/>
      <c r="B7" s="167"/>
      <c r="C7" s="194" t="s">
        <v>7</v>
      </c>
      <c r="D7" s="354" t="str">
        <f>'Kops a'!D8</f>
        <v>Dzērves iela 23, Liepāja</v>
      </c>
      <c r="E7" s="354"/>
      <c r="F7" s="354"/>
      <c r="G7" s="354"/>
      <c r="H7" s="354"/>
      <c r="I7" s="354"/>
      <c r="J7" s="354"/>
      <c r="K7" s="354"/>
      <c r="L7" s="354"/>
      <c r="M7" s="173"/>
      <c r="N7" s="173"/>
      <c r="O7" s="173"/>
      <c r="P7" s="173"/>
    </row>
    <row r="8" spans="1:18" x14ac:dyDescent="0.2">
      <c r="A8" s="167"/>
      <c r="B8" s="167"/>
      <c r="C8" s="200" t="s">
        <v>20</v>
      </c>
      <c r="D8" s="354" t="str">
        <f>'Kops a'!D9</f>
        <v>EA-14-17/WOOS</v>
      </c>
      <c r="E8" s="354"/>
      <c r="F8" s="354"/>
      <c r="G8" s="354"/>
      <c r="H8" s="354"/>
      <c r="I8" s="354"/>
      <c r="J8" s="354"/>
      <c r="K8" s="354"/>
      <c r="L8" s="354"/>
      <c r="M8" s="173"/>
      <c r="N8" s="173"/>
      <c r="O8" s="173"/>
      <c r="P8" s="173"/>
    </row>
    <row r="9" spans="1:18" x14ac:dyDescent="0.2">
      <c r="A9" s="341" t="s">
        <v>556</v>
      </c>
      <c r="B9" s="341"/>
      <c r="C9" s="341"/>
      <c r="D9" s="341"/>
      <c r="E9" s="341"/>
      <c r="F9" s="341"/>
      <c r="G9" s="175"/>
      <c r="H9" s="175"/>
      <c r="I9" s="175"/>
      <c r="J9" s="345" t="s">
        <v>39</v>
      </c>
      <c r="K9" s="345"/>
      <c r="L9" s="345"/>
      <c r="M9" s="345"/>
      <c r="N9" s="353">
        <f>P62</f>
        <v>0</v>
      </c>
      <c r="O9" s="353"/>
      <c r="P9" s="175"/>
    </row>
    <row r="10" spans="1:18" x14ac:dyDescent="0.2">
      <c r="A10" s="201"/>
      <c r="B10" s="202"/>
      <c r="C10" s="200"/>
      <c r="D10" s="167"/>
      <c r="E10" s="167"/>
      <c r="F10" s="167"/>
      <c r="G10" s="167"/>
      <c r="H10" s="167"/>
      <c r="I10" s="167"/>
      <c r="J10" s="167"/>
      <c r="K10" s="167"/>
      <c r="L10" s="198"/>
      <c r="M10" s="198"/>
      <c r="O10" s="237"/>
      <c r="P10" s="204" t="str">
        <f>A68</f>
        <v>Tāme sastādīta 2021. gada</v>
      </c>
    </row>
    <row r="11" spans="1:18" ht="12" thickBot="1" x14ac:dyDescent="0.25">
      <c r="A11" s="201"/>
      <c r="B11" s="202"/>
      <c r="C11" s="200"/>
      <c r="D11" s="167"/>
      <c r="E11" s="167"/>
      <c r="F11" s="167"/>
      <c r="G11" s="167"/>
      <c r="H11" s="167"/>
      <c r="I11" s="167"/>
      <c r="J11" s="167"/>
      <c r="K11" s="167"/>
      <c r="L11" s="205"/>
      <c r="M11" s="205"/>
      <c r="N11" s="206"/>
      <c r="O11" s="196"/>
      <c r="P11" s="167"/>
    </row>
    <row r="12" spans="1:18" x14ac:dyDescent="0.2">
      <c r="A12" s="346" t="s">
        <v>23</v>
      </c>
      <c r="B12" s="348" t="s">
        <v>40</v>
      </c>
      <c r="C12" s="343" t="s">
        <v>41</v>
      </c>
      <c r="D12" s="351" t="s">
        <v>42</v>
      </c>
      <c r="E12" s="355" t="s">
        <v>43</v>
      </c>
      <c r="F12" s="342" t="s">
        <v>44</v>
      </c>
      <c r="G12" s="343"/>
      <c r="H12" s="343"/>
      <c r="I12" s="343"/>
      <c r="J12" s="343"/>
      <c r="K12" s="344"/>
      <c r="L12" s="342" t="s">
        <v>45</v>
      </c>
      <c r="M12" s="343"/>
      <c r="N12" s="343"/>
      <c r="O12" s="343"/>
      <c r="P12" s="344"/>
    </row>
    <row r="13" spans="1:18" ht="118.5" thickBot="1" x14ac:dyDescent="0.25">
      <c r="A13" s="347"/>
      <c r="B13" s="349"/>
      <c r="C13" s="350"/>
      <c r="D13" s="352"/>
      <c r="E13" s="356"/>
      <c r="F13" s="207" t="s">
        <v>46</v>
      </c>
      <c r="G13" s="208" t="s">
        <v>47</v>
      </c>
      <c r="H13" s="208" t="s">
        <v>48</v>
      </c>
      <c r="I13" s="208" t="s">
        <v>49</v>
      </c>
      <c r="J13" s="208" t="s">
        <v>50</v>
      </c>
      <c r="K13" s="209" t="s">
        <v>51</v>
      </c>
      <c r="L13" s="207" t="s">
        <v>46</v>
      </c>
      <c r="M13" s="208" t="s">
        <v>48</v>
      </c>
      <c r="N13" s="208" t="s">
        <v>49</v>
      </c>
      <c r="O13" s="208" t="s">
        <v>50</v>
      </c>
      <c r="P13" s="209" t="s">
        <v>51</v>
      </c>
      <c r="Q13" s="363"/>
      <c r="R13" s="363"/>
    </row>
    <row r="14" spans="1:18" x14ac:dyDescent="0.2">
      <c r="A14" s="59">
        <f>IF(COUNTBLANK(B14)=1," ",COUNTA(B$13:B14))</f>
        <v>1</v>
      </c>
      <c r="B14" s="60" t="s">
        <v>93</v>
      </c>
      <c r="C14" s="61" t="s">
        <v>122</v>
      </c>
      <c r="D14" s="108" t="s">
        <v>97</v>
      </c>
      <c r="E14" s="109">
        <f>apjomi!D27</f>
        <v>108</v>
      </c>
      <c r="F14" s="75"/>
      <c r="G14" s="75"/>
      <c r="H14" s="75"/>
      <c r="I14" s="75"/>
      <c r="J14" s="75"/>
      <c r="K14" s="212"/>
      <c r="L14" s="213"/>
      <c r="M14" s="213"/>
      <c r="N14" s="213"/>
      <c r="O14" s="213"/>
      <c r="P14" s="213"/>
    </row>
    <row r="15" spans="1:18" x14ac:dyDescent="0.2">
      <c r="A15" s="59">
        <f>IF(COUNTBLANK(B15)=1," ",COUNTA(B$13:B15))</f>
        <v>2</v>
      </c>
      <c r="B15" s="110" t="s">
        <v>93</v>
      </c>
      <c r="C15" s="111" t="s">
        <v>123</v>
      </c>
      <c r="D15" s="112" t="s">
        <v>95</v>
      </c>
      <c r="E15" s="113">
        <f>apjomi!P27</f>
        <v>433.839</v>
      </c>
      <c r="F15" s="113"/>
      <c r="G15" s="113"/>
      <c r="H15" s="113"/>
      <c r="I15" s="113"/>
      <c r="J15" s="113"/>
      <c r="K15" s="212"/>
      <c r="L15" s="213"/>
      <c r="M15" s="213"/>
      <c r="N15" s="213"/>
      <c r="O15" s="213"/>
      <c r="P15" s="213"/>
    </row>
    <row r="16" spans="1:18" x14ac:dyDescent="0.2">
      <c r="A16" s="59">
        <f>IF(COUNTBLANK(B16)=1," ",COUNTA(B$13:B16))</f>
        <v>3</v>
      </c>
      <c r="B16" s="60" t="s">
        <v>93</v>
      </c>
      <c r="C16" s="62" t="s">
        <v>277</v>
      </c>
      <c r="D16" s="114" t="s">
        <v>95</v>
      </c>
      <c r="E16" s="115">
        <f>E15</f>
        <v>433.839</v>
      </c>
      <c r="F16" s="75"/>
      <c r="G16" s="75"/>
      <c r="H16" s="75"/>
      <c r="I16" s="75"/>
      <c r="J16" s="75"/>
      <c r="K16" s="212"/>
      <c r="L16" s="213"/>
      <c r="M16" s="213"/>
      <c r="N16" s="213"/>
      <c r="O16" s="213"/>
      <c r="P16" s="213"/>
    </row>
    <row r="17" spans="1:16" ht="67.5" x14ac:dyDescent="0.2">
      <c r="A17" s="59" t="str">
        <f>IF(COUNTBLANK(B17)=1," ",COUNTA(B$13:B17))</f>
        <v xml:space="preserve"> </v>
      </c>
      <c r="B17" s="60"/>
      <c r="C17" s="61" t="s">
        <v>543</v>
      </c>
      <c r="D17" s="59"/>
      <c r="E17" s="109"/>
      <c r="F17" s="75"/>
      <c r="G17" s="75"/>
      <c r="H17" s="75"/>
      <c r="I17" s="75"/>
      <c r="J17" s="75"/>
      <c r="K17" s="75"/>
      <c r="L17" s="75"/>
      <c r="M17" s="75"/>
      <c r="N17" s="75"/>
      <c r="O17" s="75"/>
      <c r="P17" s="75"/>
    </row>
    <row r="18" spans="1:16" x14ac:dyDescent="0.2">
      <c r="A18" s="59">
        <f>IF(COUNTBLANK(B18)=1," ",COUNTA(B$13:B18))</f>
        <v>4</v>
      </c>
      <c r="B18" s="60" t="s">
        <v>93</v>
      </c>
      <c r="C18" s="116" t="s">
        <v>226</v>
      </c>
      <c r="D18" s="59" t="s">
        <v>97</v>
      </c>
      <c r="E18" s="115">
        <f>apjomi!D4</f>
        <v>5</v>
      </c>
      <c r="F18" s="75"/>
      <c r="G18" s="75"/>
      <c r="H18" s="75"/>
      <c r="I18" s="75"/>
      <c r="J18" s="75"/>
      <c r="K18" s="212"/>
      <c r="L18" s="213"/>
      <c r="M18" s="213"/>
      <c r="N18" s="213"/>
      <c r="O18" s="213"/>
      <c r="P18" s="213"/>
    </row>
    <row r="19" spans="1:16" x14ac:dyDescent="0.2">
      <c r="A19" s="59">
        <f>IF(COUNTBLANK(B19)=1," ",COUNTA(B$13:B19))</f>
        <v>5</v>
      </c>
      <c r="B19" s="60" t="s">
        <v>93</v>
      </c>
      <c r="C19" s="116" t="s">
        <v>227</v>
      </c>
      <c r="D19" s="59" t="s">
        <v>97</v>
      </c>
      <c r="E19" s="115">
        <f>apjomi!D6</f>
        <v>10</v>
      </c>
      <c r="F19" s="75"/>
      <c r="G19" s="75"/>
      <c r="H19" s="75"/>
      <c r="I19" s="75"/>
      <c r="J19" s="75"/>
      <c r="K19" s="212"/>
      <c r="L19" s="213"/>
      <c r="M19" s="213"/>
      <c r="N19" s="213"/>
      <c r="O19" s="213"/>
      <c r="P19" s="213"/>
    </row>
    <row r="20" spans="1:16" x14ac:dyDescent="0.2">
      <c r="A20" s="59">
        <f>IF(COUNTBLANK(B20)=1," ",COUNTA(B$13:B20))</f>
        <v>6</v>
      </c>
      <c r="B20" s="60" t="s">
        <v>93</v>
      </c>
      <c r="C20" s="116" t="s">
        <v>228</v>
      </c>
      <c r="D20" s="59" t="s">
        <v>97</v>
      </c>
      <c r="E20" s="115">
        <f>apjomi!D8</f>
        <v>13</v>
      </c>
      <c r="F20" s="75"/>
      <c r="G20" s="75"/>
      <c r="H20" s="75"/>
      <c r="I20" s="75"/>
      <c r="J20" s="75"/>
      <c r="K20" s="212"/>
      <c r="L20" s="213"/>
      <c r="M20" s="213"/>
      <c r="N20" s="213"/>
      <c r="O20" s="213"/>
      <c r="P20" s="213"/>
    </row>
    <row r="21" spans="1:16" x14ac:dyDescent="0.2">
      <c r="A21" s="59">
        <f>IF(COUNTBLANK(B21)=1," ",COUNTA(B$13:B21))</f>
        <v>7</v>
      </c>
      <c r="B21" s="60" t="s">
        <v>93</v>
      </c>
      <c r="C21" s="116" t="s">
        <v>229</v>
      </c>
      <c r="D21" s="59" t="s">
        <v>97</v>
      </c>
      <c r="E21" s="115">
        <f>apjomi!D10</f>
        <v>9</v>
      </c>
      <c r="F21" s="75"/>
      <c r="G21" s="75"/>
      <c r="H21" s="75"/>
      <c r="I21" s="75"/>
      <c r="J21" s="75"/>
      <c r="K21" s="212"/>
      <c r="L21" s="213"/>
      <c r="M21" s="213"/>
      <c r="N21" s="213"/>
      <c r="O21" s="213"/>
      <c r="P21" s="213"/>
    </row>
    <row r="22" spans="1:16" x14ac:dyDescent="0.2">
      <c r="A22" s="59">
        <f>IF(COUNTBLANK(B22)=1," ",COUNTA(B$13:B22))</f>
        <v>8</v>
      </c>
      <c r="B22" s="60" t="s">
        <v>93</v>
      </c>
      <c r="C22" s="116" t="s">
        <v>230</v>
      </c>
      <c r="D22" s="59" t="s">
        <v>97</v>
      </c>
      <c r="E22" s="115">
        <f>apjomi!D12</f>
        <v>21</v>
      </c>
      <c r="F22" s="75"/>
      <c r="G22" s="75"/>
      <c r="H22" s="75"/>
      <c r="I22" s="75"/>
      <c r="J22" s="75"/>
      <c r="K22" s="212"/>
      <c r="L22" s="213"/>
      <c r="M22" s="213"/>
      <c r="N22" s="213"/>
      <c r="O22" s="213"/>
      <c r="P22" s="213"/>
    </row>
    <row r="23" spans="1:16" x14ac:dyDescent="0.2">
      <c r="A23" s="59">
        <f>IF(COUNTBLANK(B23)=1," ",COUNTA(B$13:B23))</f>
        <v>9</v>
      </c>
      <c r="B23" s="60" t="s">
        <v>93</v>
      </c>
      <c r="C23" s="116" t="s">
        <v>231</v>
      </c>
      <c r="D23" s="59" t="s">
        <v>97</v>
      </c>
      <c r="E23" s="115">
        <f>apjomi!D13</f>
        <v>4</v>
      </c>
      <c r="F23" s="75"/>
      <c r="G23" s="75"/>
      <c r="H23" s="75"/>
      <c r="I23" s="75"/>
      <c r="J23" s="75"/>
      <c r="K23" s="212"/>
      <c r="L23" s="213"/>
      <c r="M23" s="213"/>
      <c r="N23" s="213"/>
      <c r="O23" s="213"/>
      <c r="P23" s="213"/>
    </row>
    <row r="24" spans="1:16" x14ac:dyDescent="0.2">
      <c r="A24" s="59">
        <f>IF(COUNTBLANK(B24)=1," ",COUNTA(B$13:B24))</f>
        <v>10</v>
      </c>
      <c r="B24" s="60" t="s">
        <v>93</v>
      </c>
      <c r="C24" s="116" t="s">
        <v>232</v>
      </c>
      <c r="D24" s="59" t="s">
        <v>97</v>
      </c>
      <c r="E24" s="115">
        <f>apjomi!D14</f>
        <v>2</v>
      </c>
      <c r="F24" s="75"/>
      <c r="G24" s="75"/>
      <c r="H24" s="75"/>
      <c r="I24" s="75"/>
      <c r="J24" s="75"/>
      <c r="K24" s="212"/>
      <c r="L24" s="213"/>
      <c r="M24" s="213"/>
      <c r="N24" s="213"/>
      <c r="O24" s="213"/>
      <c r="P24" s="213"/>
    </row>
    <row r="25" spans="1:16" x14ac:dyDescent="0.2">
      <c r="A25" s="59">
        <f>IF(COUNTBLANK(B25)=1," ",COUNTA(B$13:B25))</f>
        <v>11</v>
      </c>
      <c r="B25" s="60" t="s">
        <v>93</v>
      </c>
      <c r="C25" s="116" t="s">
        <v>233</v>
      </c>
      <c r="D25" s="59" t="s">
        <v>97</v>
      </c>
      <c r="E25" s="115">
        <f>apjomi!D15</f>
        <v>1</v>
      </c>
      <c r="F25" s="75"/>
      <c r="G25" s="75"/>
      <c r="H25" s="75"/>
      <c r="I25" s="75"/>
      <c r="J25" s="75"/>
      <c r="K25" s="212"/>
      <c r="L25" s="213"/>
      <c r="M25" s="213"/>
      <c r="N25" s="213"/>
      <c r="O25" s="213"/>
      <c r="P25" s="213"/>
    </row>
    <row r="26" spans="1:16" x14ac:dyDescent="0.2">
      <c r="A26" s="59">
        <f>IF(COUNTBLANK(B26)=1," ",COUNTA(B$13:B26))</f>
        <v>12</v>
      </c>
      <c r="B26" s="60" t="s">
        <v>93</v>
      </c>
      <c r="C26" s="116" t="s">
        <v>234</v>
      </c>
      <c r="D26" s="59" t="s">
        <v>97</v>
      </c>
      <c r="E26" s="115">
        <f>apjomi!D16</f>
        <v>1</v>
      </c>
      <c r="F26" s="75"/>
      <c r="G26" s="75"/>
      <c r="H26" s="75"/>
      <c r="I26" s="75"/>
      <c r="J26" s="75"/>
      <c r="K26" s="212"/>
      <c r="L26" s="213"/>
      <c r="M26" s="213"/>
      <c r="N26" s="213"/>
      <c r="O26" s="213"/>
      <c r="P26" s="213"/>
    </row>
    <row r="27" spans="1:16" x14ac:dyDescent="0.2">
      <c r="A27" s="59">
        <f>IF(COUNTBLANK(B27)=1," ",COUNTA(B$13:B27))</f>
        <v>13</v>
      </c>
      <c r="B27" s="60" t="s">
        <v>93</v>
      </c>
      <c r="C27" s="116" t="s">
        <v>235</v>
      </c>
      <c r="D27" s="59" t="s">
        <v>97</v>
      </c>
      <c r="E27" s="115">
        <f>apjomi!D17</f>
        <v>12</v>
      </c>
      <c r="F27" s="75"/>
      <c r="G27" s="75"/>
      <c r="H27" s="75"/>
      <c r="I27" s="75"/>
      <c r="J27" s="75"/>
      <c r="K27" s="212"/>
      <c r="L27" s="213"/>
      <c r="M27" s="213"/>
      <c r="N27" s="213"/>
      <c r="O27" s="213"/>
      <c r="P27" s="213"/>
    </row>
    <row r="28" spans="1:16" x14ac:dyDescent="0.2">
      <c r="A28" s="59">
        <f>IF(COUNTBLANK(B28)=1," ",COUNTA(B$13:B28))</f>
        <v>14</v>
      </c>
      <c r="B28" s="60" t="s">
        <v>93</v>
      </c>
      <c r="C28" s="119" t="s">
        <v>236</v>
      </c>
      <c r="D28" s="117" t="s">
        <v>97</v>
      </c>
      <c r="E28" s="120">
        <f>apjomi!D18</f>
        <v>1</v>
      </c>
      <c r="F28" s="75"/>
      <c r="G28" s="75"/>
      <c r="H28" s="75"/>
      <c r="I28" s="75"/>
      <c r="J28" s="75"/>
      <c r="K28" s="212"/>
      <c r="L28" s="213"/>
      <c r="M28" s="213"/>
      <c r="N28" s="213"/>
      <c r="O28" s="213"/>
      <c r="P28" s="213"/>
    </row>
    <row r="29" spans="1:16" x14ac:dyDescent="0.2">
      <c r="A29" s="59">
        <f>IF(COUNTBLANK(B29)=1," ",COUNTA(B$13:B29))</f>
        <v>15</v>
      </c>
      <c r="B29" s="60" t="s">
        <v>93</v>
      </c>
      <c r="C29" s="119" t="s">
        <v>237</v>
      </c>
      <c r="D29" s="117" t="s">
        <v>97</v>
      </c>
      <c r="E29" s="120">
        <f>apjomi!D20</f>
        <v>1</v>
      </c>
      <c r="F29" s="75"/>
      <c r="G29" s="75"/>
      <c r="H29" s="75"/>
      <c r="I29" s="75"/>
      <c r="J29" s="75"/>
      <c r="K29" s="212"/>
      <c r="L29" s="213"/>
      <c r="M29" s="213"/>
      <c r="N29" s="213"/>
      <c r="O29" s="213"/>
      <c r="P29" s="213"/>
    </row>
    <row r="30" spans="1:16" x14ac:dyDescent="0.2">
      <c r="A30" s="59">
        <f>IF(COUNTBLANK(B30)=1," ",COUNTA(B$13:B30))</f>
        <v>16</v>
      </c>
      <c r="B30" s="60" t="s">
        <v>93</v>
      </c>
      <c r="C30" s="116" t="s">
        <v>238</v>
      </c>
      <c r="D30" s="59" t="s">
        <v>97</v>
      </c>
      <c r="E30" s="115">
        <f>apjomi!D21</f>
        <v>3</v>
      </c>
      <c r="F30" s="75"/>
      <c r="G30" s="75"/>
      <c r="H30" s="75"/>
      <c r="I30" s="75"/>
      <c r="J30" s="75"/>
      <c r="K30" s="212"/>
      <c r="L30" s="213"/>
      <c r="M30" s="213"/>
      <c r="N30" s="213"/>
      <c r="O30" s="213"/>
      <c r="P30" s="213"/>
    </row>
    <row r="31" spans="1:16" ht="67.5" x14ac:dyDescent="0.2">
      <c r="A31" s="59">
        <f>IF(COUNTBLANK(B31)=1," ",COUNTA(B$13:B31))</f>
        <v>17</v>
      </c>
      <c r="B31" s="60" t="s">
        <v>93</v>
      </c>
      <c r="C31" s="62" t="s">
        <v>239</v>
      </c>
      <c r="D31" s="59" t="s">
        <v>97</v>
      </c>
      <c r="E31" s="115">
        <f>apjomi!D22</f>
        <v>5</v>
      </c>
      <c r="F31" s="75"/>
      <c r="G31" s="75"/>
      <c r="H31" s="75"/>
      <c r="I31" s="75"/>
      <c r="J31" s="75"/>
      <c r="K31" s="212"/>
      <c r="L31" s="213"/>
      <c r="M31" s="213"/>
      <c r="N31" s="213"/>
      <c r="O31" s="213"/>
      <c r="P31" s="213"/>
    </row>
    <row r="32" spans="1:16" ht="78.75" x14ac:dyDescent="0.2">
      <c r="A32" s="59">
        <f>IF(COUNTBLANK(B32)=1," ",COUNTA(B$13:B32))</f>
        <v>18</v>
      </c>
      <c r="B32" s="60" t="s">
        <v>93</v>
      </c>
      <c r="C32" s="62" t="s">
        <v>240</v>
      </c>
      <c r="D32" s="59" t="s">
        <v>97</v>
      </c>
      <c r="E32" s="115">
        <f>apjomi!D23</f>
        <v>5</v>
      </c>
      <c r="F32" s="75"/>
      <c r="G32" s="75"/>
      <c r="H32" s="75"/>
      <c r="I32" s="75"/>
      <c r="J32" s="75"/>
      <c r="K32" s="212"/>
      <c r="L32" s="213"/>
      <c r="M32" s="213"/>
      <c r="N32" s="213"/>
      <c r="O32" s="213"/>
      <c r="P32" s="213"/>
    </row>
    <row r="33" spans="1:16" ht="67.5" x14ac:dyDescent="0.2">
      <c r="A33" s="59">
        <f>IF(COUNTBLANK(B33)=1," ",COUNTA(B$13:B33))</f>
        <v>19</v>
      </c>
      <c r="B33" s="60" t="s">
        <v>93</v>
      </c>
      <c r="C33" s="62" t="s">
        <v>241</v>
      </c>
      <c r="D33" s="59" t="s">
        <v>97</v>
      </c>
      <c r="E33" s="115">
        <f>apjomi!D24</f>
        <v>5</v>
      </c>
      <c r="F33" s="75"/>
      <c r="G33" s="75"/>
      <c r="H33" s="75"/>
      <c r="I33" s="75"/>
      <c r="J33" s="75"/>
      <c r="K33" s="212"/>
      <c r="L33" s="213"/>
      <c r="M33" s="213"/>
      <c r="N33" s="213"/>
      <c r="O33" s="213"/>
      <c r="P33" s="213"/>
    </row>
    <row r="34" spans="1:16" ht="78.75" x14ac:dyDescent="0.2">
      <c r="A34" s="59">
        <f>IF(COUNTBLANK(B34)=1," ",COUNTA(B$13:B34))</f>
        <v>20</v>
      </c>
      <c r="B34" s="60" t="s">
        <v>93</v>
      </c>
      <c r="C34" s="62" t="s">
        <v>242</v>
      </c>
      <c r="D34" s="59" t="s">
        <v>97</v>
      </c>
      <c r="E34" s="115">
        <f>apjomi!D25</f>
        <v>5</v>
      </c>
      <c r="F34" s="75"/>
      <c r="G34" s="75"/>
      <c r="H34" s="75"/>
      <c r="I34" s="75"/>
      <c r="J34" s="75"/>
      <c r="K34" s="212"/>
      <c r="L34" s="213"/>
      <c r="M34" s="213"/>
      <c r="N34" s="213"/>
      <c r="O34" s="213"/>
      <c r="P34" s="213"/>
    </row>
    <row r="35" spans="1:16" ht="112.5" x14ac:dyDescent="0.2">
      <c r="A35" s="59">
        <f>IF(COUNTBLANK(B35)=1," ",COUNTA(B$13:B35))</f>
        <v>21</v>
      </c>
      <c r="B35" s="60" t="s">
        <v>93</v>
      </c>
      <c r="C35" s="62" t="s">
        <v>278</v>
      </c>
      <c r="D35" s="59" t="s">
        <v>97</v>
      </c>
      <c r="E35" s="115">
        <f>apjomi!D26</f>
        <v>5</v>
      </c>
      <c r="F35" s="75"/>
      <c r="G35" s="75"/>
      <c r="H35" s="75"/>
      <c r="I35" s="75"/>
      <c r="J35" s="75"/>
      <c r="K35" s="212"/>
      <c r="L35" s="213"/>
      <c r="M35" s="213"/>
      <c r="N35" s="213"/>
      <c r="O35" s="213"/>
      <c r="P35" s="213"/>
    </row>
    <row r="36" spans="1:16" x14ac:dyDescent="0.2">
      <c r="A36" s="59">
        <f>IF(COUNTBLANK(B36)=1," ",COUNTA(B$13:B36))</f>
        <v>22</v>
      </c>
      <c r="B36" s="60" t="s">
        <v>93</v>
      </c>
      <c r="C36" s="121" t="s">
        <v>147</v>
      </c>
      <c r="D36" s="59" t="s">
        <v>97</v>
      </c>
      <c r="E36" s="75">
        <f>SUM(E18:E35)</f>
        <v>108</v>
      </c>
      <c r="F36" s="75"/>
      <c r="G36" s="75"/>
      <c r="H36" s="75"/>
      <c r="I36" s="75"/>
      <c r="J36" s="75"/>
      <c r="K36" s="212"/>
      <c r="L36" s="213"/>
      <c r="M36" s="213"/>
      <c r="N36" s="213"/>
      <c r="O36" s="213"/>
      <c r="P36" s="213"/>
    </row>
    <row r="37" spans="1:16" x14ac:dyDescent="0.2">
      <c r="A37" s="59" t="str">
        <f>IF(COUNTBLANK(B37)=1," ",COUNTA(B$13:B37))</f>
        <v xml:space="preserve"> </v>
      </c>
      <c r="B37" s="59"/>
      <c r="C37" s="62" t="s">
        <v>124</v>
      </c>
      <c r="D37" s="59" t="s">
        <v>110</v>
      </c>
      <c r="E37" s="122">
        <f>ROUNDUP(E36*8,0)</f>
        <v>864</v>
      </c>
      <c r="F37" s="75"/>
      <c r="G37" s="75"/>
      <c r="H37" s="75"/>
      <c r="I37" s="75"/>
      <c r="J37" s="75"/>
      <c r="K37" s="212"/>
      <c r="L37" s="213"/>
      <c r="M37" s="213"/>
      <c r="N37" s="213"/>
      <c r="O37" s="213"/>
      <c r="P37" s="213"/>
    </row>
    <row r="38" spans="1:16" x14ac:dyDescent="0.2">
      <c r="A38" s="59" t="str">
        <f>IF(COUNTBLANK(B38)=1," ",COUNTA(B$13:B38))</f>
        <v xml:space="preserve"> </v>
      </c>
      <c r="B38" s="59"/>
      <c r="C38" s="121" t="s">
        <v>125</v>
      </c>
      <c r="D38" s="75" t="s">
        <v>110</v>
      </c>
      <c r="E38" s="122">
        <f>E37*2</f>
        <v>1728</v>
      </c>
      <c r="F38" s="75"/>
      <c r="G38" s="75"/>
      <c r="H38" s="75"/>
      <c r="I38" s="75"/>
      <c r="J38" s="75"/>
      <c r="K38" s="212"/>
      <c r="L38" s="213"/>
      <c r="M38" s="213"/>
      <c r="N38" s="213"/>
      <c r="O38" s="213"/>
      <c r="P38" s="213"/>
    </row>
    <row r="39" spans="1:16" x14ac:dyDescent="0.2">
      <c r="A39" s="59" t="str">
        <f>IF(COUNTBLANK(B39)=1," ",COUNTA(B$13:B39))</f>
        <v xml:space="preserve"> </v>
      </c>
      <c r="B39" s="59"/>
      <c r="C39" s="62" t="s">
        <v>471</v>
      </c>
      <c r="D39" s="59" t="s">
        <v>108</v>
      </c>
      <c r="E39" s="122">
        <f>ROUNDUP(E36*4,0)</f>
        <v>432</v>
      </c>
      <c r="F39" s="75"/>
      <c r="G39" s="75"/>
      <c r="H39" s="75"/>
      <c r="I39" s="75"/>
      <c r="J39" s="75"/>
      <c r="K39" s="212"/>
      <c r="L39" s="213"/>
      <c r="M39" s="213"/>
      <c r="N39" s="213"/>
      <c r="O39" s="213"/>
      <c r="P39" s="213"/>
    </row>
    <row r="40" spans="1:16" x14ac:dyDescent="0.2">
      <c r="A40" s="59" t="str">
        <f>IF(COUNTBLANK(B40)=1," ",COUNTA(B$13:B40))</f>
        <v xml:space="preserve"> </v>
      </c>
      <c r="B40" s="123"/>
      <c r="C40" s="124" t="s">
        <v>126</v>
      </c>
      <c r="D40" s="123" t="s">
        <v>110</v>
      </c>
      <c r="E40" s="122">
        <f>E38</f>
        <v>1728</v>
      </c>
      <c r="F40" s="191"/>
      <c r="G40" s="191"/>
      <c r="H40" s="191"/>
      <c r="I40" s="191"/>
      <c r="J40" s="191"/>
      <c r="K40" s="212"/>
      <c r="L40" s="213"/>
      <c r="M40" s="213"/>
      <c r="N40" s="213"/>
      <c r="O40" s="213"/>
      <c r="P40" s="213"/>
    </row>
    <row r="41" spans="1:16" x14ac:dyDescent="0.2">
      <c r="A41" s="59" t="str">
        <f>IF(COUNTBLANK(B41)=1," ",COUNTA(B$13:B41))</f>
        <v xml:space="preserve"> </v>
      </c>
      <c r="B41" s="59"/>
      <c r="C41" s="62" t="s">
        <v>470</v>
      </c>
      <c r="D41" s="59" t="s">
        <v>108</v>
      </c>
      <c r="E41" s="122">
        <f>E39</f>
        <v>432</v>
      </c>
      <c r="F41" s="75"/>
      <c r="G41" s="75"/>
      <c r="H41" s="75"/>
      <c r="I41" s="75"/>
      <c r="J41" s="75"/>
      <c r="K41" s="212"/>
      <c r="L41" s="213"/>
      <c r="M41" s="213"/>
      <c r="N41" s="213"/>
      <c r="O41" s="213"/>
      <c r="P41" s="213"/>
    </row>
    <row r="42" spans="1:16" x14ac:dyDescent="0.2">
      <c r="A42" s="59" t="str">
        <f>IF(COUNTBLANK(B42)=1," ",COUNTA(B$13:B42))</f>
        <v xml:space="preserve"> </v>
      </c>
      <c r="B42" s="59"/>
      <c r="C42" s="62" t="s">
        <v>127</v>
      </c>
      <c r="D42" s="59" t="s">
        <v>128</v>
      </c>
      <c r="E42" s="75">
        <f>E36</f>
        <v>108</v>
      </c>
      <c r="F42" s="75"/>
      <c r="G42" s="75"/>
      <c r="H42" s="75"/>
      <c r="I42" s="75"/>
      <c r="J42" s="75"/>
      <c r="K42" s="212"/>
      <c r="L42" s="213"/>
      <c r="M42" s="213"/>
      <c r="N42" s="213"/>
      <c r="O42" s="213"/>
      <c r="P42" s="213"/>
    </row>
    <row r="43" spans="1:16" ht="101.25" x14ac:dyDescent="0.2">
      <c r="A43" s="125">
        <f>IF(COUNTBLANK(B43)=1," ",COUNTA($B$13:B43))</f>
        <v>23</v>
      </c>
      <c r="B43" s="126" t="s">
        <v>93</v>
      </c>
      <c r="C43" s="127" t="s">
        <v>243</v>
      </c>
      <c r="D43" s="59" t="s">
        <v>97</v>
      </c>
      <c r="E43" s="128">
        <v>181</v>
      </c>
      <c r="F43" s="75"/>
      <c r="G43" s="75"/>
      <c r="H43" s="75"/>
      <c r="I43" s="75"/>
      <c r="J43" s="75"/>
      <c r="K43" s="212"/>
      <c r="L43" s="213"/>
      <c r="M43" s="213"/>
      <c r="N43" s="213"/>
      <c r="O43" s="213"/>
      <c r="P43" s="213"/>
    </row>
    <row r="44" spans="1:16" x14ac:dyDescent="0.2">
      <c r="A44" s="59">
        <f>IF(COUNTBLANK(B44)=1," ",COUNTA(B$13:B44))</f>
        <v>24</v>
      </c>
      <c r="B44" s="60" t="s">
        <v>93</v>
      </c>
      <c r="C44" s="61" t="s">
        <v>539</v>
      </c>
      <c r="D44" s="59" t="s">
        <v>95</v>
      </c>
      <c r="E44" s="129">
        <f>apjomi!K27</f>
        <v>2229.9600000000005</v>
      </c>
      <c r="F44" s="75"/>
      <c r="G44" s="75"/>
      <c r="H44" s="75"/>
      <c r="I44" s="75"/>
      <c r="J44" s="75"/>
      <c r="K44" s="212"/>
      <c r="L44" s="213"/>
      <c r="M44" s="213"/>
      <c r="N44" s="213"/>
      <c r="O44" s="213"/>
      <c r="P44" s="213"/>
    </row>
    <row r="45" spans="1:16" ht="22.5" x14ac:dyDescent="0.2">
      <c r="A45" s="59">
        <f>IF(COUNTBLANK(B45)=1," ",COUNTA(B$13:B45))</f>
        <v>25</v>
      </c>
      <c r="B45" s="60" t="s">
        <v>93</v>
      </c>
      <c r="C45" s="61" t="s">
        <v>540</v>
      </c>
      <c r="D45" s="59" t="s">
        <v>95</v>
      </c>
      <c r="E45" s="129">
        <f>apjomi!L27</f>
        <v>700.3</v>
      </c>
      <c r="F45" s="75"/>
      <c r="G45" s="75"/>
      <c r="H45" s="75"/>
      <c r="I45" s="75"/>
      <c r="J45" s="75"/>
      <c r="K45" s="212"/>
      <c r="L45" s="213"/>
      <c r="M45" s="213"/>
      <c r="N45" s="213"/>
      <c r="O45" s="213"/>
      <c r="P45" s="213"/>
    </row>
    <row r="46" spans="1:16" x14ac:dyDescent="0.2">
      <c r="A46" s="59">
        <f>IF(COUNTBLANK(B46)=1," ",COUNTA(B$13:B46))</f>
        <v>26</v>
      </c>
      <c r="B46" s="60" t="s">
        <v>93</v>
      </c>
      <c r="C46" s="61" t="s">
        <v>129</v>
      </c>
      <c r="D46" s="59" t="s">
        <v>95</v>
      </c>
      <c r="E46" s="129">
        <f>apjomi!O27</f>
        <v>106.85</v>
      </c>
      <c r="F46" s="75"/>
      <c r="G46" s="75"/>
      <c r="H46" s="75"/>
      <c r="I46" s="75"/>
      <c r="J46" s="75"/>
      <c r="K46" s="212"/>
      <c r="L46" s="213"/>
      <c r="M46" s="213"/>
      <c r="N46" s="213"/>
      <c r="O46" s="213"/>
      <c r="P46" s="213"/>
    </row>
    <row r="47" spans="1:16" ht="22.5" x14ac:dyDescent="0.2">
      <c r="A47" s="59">
        <f>IF(COUNTBLANK(B47)=1," ",COUNTA(B$13:B47))</f>
        <v>27</v>
      </c>
      <c r="B47" s="60" t="s">
        <v>93</v>
      </c>
      <c r="C47" s="61" t="s">
        <v>130</v>
      </c>
      <c r="D47" s="59" t="s">
        <v>100</v>
      </c>
      <c r="E47" s="129">
        <f>apjomi!N27</f>
        <v>192.39</v>
      </c>
      <c r="F47" s="75"/>
      <c r="G47" s="75"/>
      <c r="H47" s="75"/>
      <c r="I47" s="75"/>
      <c r="J47" s="75"/>
      <c r="K47" s="212"/>
      <c r="L47" s="213"/>
      <c r="M47" s="213"/>
      <c r="N47" s="213"/>
      <c r="O47" s="213"/>
      <c r="P47" s="213"/>
    </row>
    <row r="48" spans="1:16" x14ac:dyDescent="0.2">
      <c r="A48" s="59" t="str">
        <f>IF(COUNTBLANK(B48)=1," ",COUNTA(B$13:B48))</f>
        <v xml:space="preserve"> </v>
      </c>
      <c r="B48" s="60"/>
      <c r="C48" s="121" t="s">
        <v>131</v>
      </c>
      <c r="D48" s="75" t="s">
        <v>95</v>
      </c>
      <c r="E48" s="75">
        <f>E53</f>
        <v>700.3</v>
      </c>
      <c r="F48" s="75"/>
      <c r="G48" s="75"/>
      <c r="H48" s="75"/>
      <c r="I48" s="75"/>
      <c r="J48" s="75"/>
      <c r="K48" s="212"/>
      <c r="L48" s="213"/>
      <c r="M48" s="213"/>
      <c r="N48" s="213"/>
      <c r="O48" s="213"/>
      <c r="P48" s="213"/>
    </row>
    <row r="49" spans="1:16" x14ac:dyDescent="0.2">
      <c r="A49" s="59" t="str">
        <f>IF(COUNTBLANK(B49)=1," ",COUNTA(B$13:B49))</f>
        <v xml:space="preserve"> </v>
      </c>
      <c r="B49" s="60"/>
      <c r="C49" s="121" t="s">
        <v>132</v>
      </c>
      <c r="D49" s="114" t="s">
        <v>100</v>
      </c>
      <c r="E49" s="75">
        <f>E47*1.1</f>
        <v>211.62899999999999</v>
      </c>
      <c r="F49" s="75"/>
      <c r="G49" s="75"/>
      <c r="H49" s="75"/>
      <c r="I49" s="75"/>
      <c r="J49" s="75"/>
      <c r="K49" s="212"/>
      <c r="L49" s="213"/>
      <c r="M49" s="213"/>
      <c r="N49" s="213"/>
      <c r="O49" s="213"/>
      <c r="P49" s="213"/>
    </row>
    <row r="50" spans="1:16" x14ac:dyDescent="0.2">
      <c r="A50" s="59" t="str">
        <f>IF(COUNTBLANK(B50)=1," ",COUNTA(B$13:B50))</f>
        <v xml:space="preserve"> </v>
      </c>
      <c r="B50" s="60"/>
      <c r="C50" s="121" t="s">
        <v>133</v>
      </c>
      <c r="D50" s="114" t="s">
        <v>100</v>
      </c>
      <c r="E50" s="75">
        <f>E47*1.05</f>
        <v>202.0095</v>
      </c>
      <c r="F50" s="75"/>
      <c r="G50" s="75"/>
      <c r="H50" s="75"/>
      <c r="I50" s="75"/>
      <c r="J50" s="75"/>
      <c r="K50" s="212"/>
      <c r="L50" s="213"/>
      <c r="M50" s="213"/>
      <c r="N50" s="213"/>
      <c r="O50" s="213"/>
      <c r="P50" s="213"/>
    </row>
    <row r="51" spans="1:16" x14ac:dyDescent="0.2">
      <c r="A51" s="59" t="str">
        <f>IF(COUNTBLANK(B51)=1," ",COUNTA(B$13:B51))</f>
        <v xml:space="preserve"> </v>
      </c>
      <c r="B51" s="76"/>
      <c r="C51" s="121" t="s">
        <v>134</v>
      </c>
      <c r="D51" s="75" t="s">
        <v>107</v>
      </c>
      <c r="E51" s="75">
        <f>E47*3.5</f>
        <v>673.36500000000001</v>
      </c>
      <c r="F51" s="75"/>
      <c r="G51" s="75"/>
      <c r="H51" s="75"/>
      <c r="I51" s="75"/>
      <c r="J51" s="75"/>
      <c r="K51" s="212"/>
      <c r="L51" s="213"/>
      <c r="M51" s="213"/>
      <c r="N51" s="213"/>
      <c r="O51" s="213"/>
      <c r="P51" s="213"/>
    </row>
    <row r="52" spans="1:16" x14ac:dyDescent="0.2">
      <c r="A52" s="59" t="str">
        <f>IF(COUNTBLANK(B52)=1," ",COUNTA(B$13:B52))</f>
        <v xml:space="preserve"> </v>
      </c>
      <c r="B52" s="76"/>
      <c r="C52" s="121" t="s">
        <v>135</v>
      </c>
      <c r="D52" s="75" t="s">
        <v>107</v>
      </c>
      <c r="E52" s="75">
        <f>E47*0.3</f>
        <v>57.716999999999992</v>
      </c>
      <c r="F52" s="75"/>
      <c r="G52" s="75"/>
      <c r="H52" s="75"/>
      <c r="I52" s="75"/>
      <c r="J52" s="75"/>
      <c r="K52" s="212"/>
      <c r="L52" s="213"/>
      <c r="M52" s="213"/>
      <c r="N52" s="213"/>
      <c r="O52" s="213"/>
      <c r="P52" s="213"/>
    </row>
    <row r="53" spans="1:16" x14ac:dyDescent="0.2">
      <c r="A53" s="59" t="str">
        <f>IF(COUNTBLANK(B53)=1," ",COUNTA(B$13:B53))</f>
        <v xml:space="preserve"> </v>
      </c>
      <c r="B53" s="76"/>
      <c r="C53" s="121" t="s">
        <v>136</v>
      </c>
      <c r="D53" s="75" t="s">
        <v>110</v>
      </c>
      <c r="E53" s="75">
        <f>E45</f>
        <v>700.3</v>
      </c>
      <c r="F53" s="75"/>
      <c r="G53" s="75"/>
      <c r="H53" s="75"/>
      <c r="I53" s="75"/>
      <c r="J53" s="75"/>
      <c r="K53" s="212"/>
      <c r="L53" s="213"/>
      <c r="M53" s="213"/>
      <c r="N53" s="213"/>
      <c r="O53" s="213"/>
      <c r="P53" s="213"/>
    </row>
    <row r="54" spans="1:16" x14ac:dyDescent="0.2">
      <c r="A54" s="117">
        <f>IF(COUNTBLANK(B54)=1," ",COUNTA(B$13:B54))</f>
        <v>28</v>
      </c>
      <c r="B54" s="118" t="s">
        <v>93</v>
      </c>
      <c r="C54" s="130" t="s">
        <v>244</v>
      </c>
      <c r="D54" s="77" t="s">
        <v>97</v>
      </c>
      <c r="E54" s="77">
        <v>4</v>
      </c>
      <c r="F54" s="77"/>
      <c r="G54" s="77"/>
      <c r="H54" s="77"/>
      <c r="I54" s="77"/>
      <c r="J54" s="77"/>
      <c r="K54" s="78"/>
      <c r="L54" s="79"/>
      <c r="M54" s="79"/>
      <c r="N54" s="79"/>
      <c r="O54" s="79"/>
      <c r="P54" s="79"/>
    </row>
    <row r="55" spans="1:16" ht="22.5" x14ac:dyDescent="0.2">
      <c r="A55" s="117">
        <f>IF(COUNTBLANK(B55)=1," ",COUNTA(B$13:B55))</f>
        <v>29</v>
      </c>
      <c r="B55" s="118" t="s">
        <v>93</v>
      </c>
      <c r="C55" s="131" t="s">
        <v>245</v>
      </c>
      <c r="D55" s="80" t="s">
        <v>97</v>
      </c>
      <c r="E55" s="80">
        <v>72</v>
      </c>
      <c r="F55" s="77"/>
      <c r="G55" s="77"/>
      <c r="H55" s="77"/>
      <c r="I55" s="77"/>
      <c r="J55" s="77"/>
      <c r="K55" s="78"/>
      <c r="L55" s="79"/>
      <c r="M55" s="79"/>
      <c r="N55" s="79"/>
      <c r="O55" s="79"/>
      <c r="P55" s="79"/>
    </row>
    <row r="56" spans="1:16" ht="33.75" x14ac:dyDescent="0.2">
      <c r="A56" s="83">
        <f>IF(COUNTBLANK(B56)=1," ",COUNTA(B$13:B56))</f>
        <v>30</v>
      </c>
      <c r="B56" s="132" t="s">
        <v>93</v>
      </c>
      <c r="C56" s="131" t="s">
        <v>246</v>
      </c>
      <c r="D56" s="80" t="s">
        <v>146</v>
      </c>
      <c r="E56" s="80">
        <v>64</v>
      </c>
      <c r="F56" s="80"/>
      <c r="G56" s="80"/>
      <c r="H56" s="80"/>
      <c r="I56" s="80"/>
      <c r="J56" s="80"/>
      <c r="K56" s="81"/>
      <c r="L56" s="82"/>
      <c r="M56" s="82"/>
      <c r="N56" s="82"/>
      <c r="O56" s="82"/>
      <c r="P56" s="82"/>
    </row>
    <row r="57" spans="1:16" ht="33.75" x14ac:dyDescent="0.2">
      <c r="A57" s="83">
        <f>IF(COUNTBLANK(B57)=1," ",COUNTA(B$13:B57))</f>
        <v>31</v>
      </c>
      <c r="B57" s="132" t="s">
        <v>93</v>
      </c>
      <c r="C57" s="131" t="s">
        <v>247</v>
      </c>
      <c r="D57" s="80" t="s">
        <v>97</v>
      </c>
      <c r="E57" s="80">
        <v>28</v>
      </c>
      <c r="F57" s="80"/>
      <c r="G57" s="80"/>
      <c r="H57" s="80"/>
      <c r="I57" s="80"/>
      <c r="J57" s="80"/>
      <c r="K57" s="81"/>
      <c r="L57" s="82"/>
      <c r="M57" s="82"/>
      <c r="N57" s="82"/>
      <c r="O57" s="82"/>
      <c r="P57" s="82"/>
    </row>
    <row r="58" spans="1:16" ht="22.5" x14ac:dyDescent="0.2">
      <c r="A58" s="83">
        <f>IF(COUNTBLANK(B58)=1," ",COUNTA(B$13:B58))</f>
        <v>32</v>
      </c>
      <c r="B58" s="132" t="s">
        <v>93</v>
      </c>
      <c r="C58" s="131" t="s">
        <v>248</v>
      </c>
      <c r="D58" s="80" t="s">
        <v>97</v>
      </c>
      <c r="E58" s="80">
        <v>3</v>
      </c>
      <c r="F58" s="80"/>
      <c r="G58" s="80"/>
      <c r="H58" s="80"/>
      <c r="I58" s="80"/>
      <c r="J58" s="80"/>
      <c r="K58" s="81"/>
      <c r="L58" s="82"/>
      <c r="M58" s="82"/>
      <c r="N58" s="82"/>
      <c r="O58" s="82"/>
      <c r="P58" s="82"/>
    </row>
    <row r="59" spans="1:16" ht="22.5" x14ac:dyDescent="0.2">
      <c r="A59" s="83">
        <f>IF(COUNTBLANK(B59)=1," ",COUNTA(B$13:B59))</f>
        <v>33</v>
      </c>
      <c r="B59" s="132" t="s">
        <v>93</v>
      </c>
      <c r="C59" s="131" t="s">
        <v>249</v>
      </c>
      <c r="D59" s="80" t="s">
        <v>97</v>
      </c>
      <c r="E59" s="80">
        <v>18</v>
      </c>
      <c r="F59" s="80"/>
      <c r="G59" s="80"/>
      <c r="H59" s="80"/>
      <c r="I59" s="80"/>
      <c r="J59" s="80"/>
      <c r="K59" s="81"/>
      <c r="L59" s="82"/>
      <c r="M59" s="82"/>
      <c r="N59" s="82"/>
      <c r="O59" s="82"/>
      <c r="P59" s="82"/>
    </row>
    <row r="60" spans="1:16" ht="22.5" x14ac:dyDescent="0.2">
      <c r="A60" s="83">
        <f>IF(COUNTBLANK(B60)=1," ",COUNTA(B$13:B60))</f>
        <v>34</v>
      </c>
      <c r="B60" s="132" t="s">
        <v>93</v>
      </c>
      <c r="C60" s="131" t="s">
        <v>250</v>
      </c>
      <c r="D60" s="80" t="s">
        <v>97</v>
      </c>
      <c r="E60" s="80">
        <v>9</v>
      </c>
      <c r="F60" s="80"/>
      <c r="G60" s="80"/>
      <c r="H60" s="80"/>
      <c r="I60" s="80"/>
      <c r="J60" s="80"/>
      <c r="K60" s="81"/>
      <c r="L60" s="82"/>
      <c r="M60" s="82"/>
      <c r="N60" s="82"/>
      <c r="O60" s="82"/>
      <c r="P60" s="82"/>
    </row>
    <row r="61" spans="1:16" ht="22.5" x14ac:dyDescent="0.2">
      <c r="A61" s="83">
        <f>IF(COUNTBLANK(B61)=1," ",COUNTA(B$13:B61))</f>
        <v>35</v>
      </c>
      <c r="B61" s="132" t="s">
        <v>93</v>
      </c>
      <c r="C61" s="131" t="s">
        <v>251</v>
      </c>
      <c r="D61" s="80" t="s">
        <v>97</v>
      </c>
      <c r="E61" s="80">
        <v>7</v>
      </c>
      <c r="F61" s="80"/>
      <c r="G61" s="80"/>
      <c r="H61" s="80"/>
      <c r="I61" s="80"/>
      <c r="J61" s="80"/>
      <c r="K61" s="81"/>
      <c r="L61" s="82"/>
      <c r="M61" s="82"/>
      <c r="N61" s="82"/>
      <c r="O61" s="82"/>
      <c r="P61" s="82"/>
    </row>
    <row r="62" spans="1:16" ht="12" thickBot="1" x14ac:dyDescent="0.25">
      <c r="A62" s="360" t="s">
        <v>545</v>
      </c>
      <c r="B62" s="361"/>
      <c r="C62" s="361"/>
      <c r="D62" s="361"/>
      <c r="E62" s="361"/>
      <c r="F62" s="361"/>
      <c r="G62" s="361"/>
      <c r="H62" s="361"/>
      <c r="I62" s="361"/>
      <c r="J62" s="361"/>
      <c r="K62" s="362"/>
      <c r="L62" s="226">
        <f>SUM(L14:L53)</f>
        <v>0</v>
      </c>
      <c r="M62" s="238">
        <f>SUM(M14:M53)</f>
        <v>0</v>
      </c>
      <c r="N62" s="238">
        <f>SUM(N14:N53)</f>
        <v>0</v>
      </c>
      <c r="O62" s="238">
        <f>SUM(O14:O53)</f>
        <v>0</v>
      </c>
      <c r="P62" s="239">
        <f>SUM(P14:P53)</f>
        <v>0</v>
      </c>
    </row>
    <row r="63" spans="1:16" x14ac:dyDescent="0.2">
      <c r="A63" s="173"/>
      <c r="B63" s="173"/>
      <c r="C63" s="173"/>
      <c r="D63" s="173"/>
      <c r="E63" s="173"/>
      <c r="F63" s="173"/>
      <c r="G63" s="173"/>
      <c r="H63" s="173"/>
      <c r="I63" s="173"/>
      <c r="J63" s="173"/>
      <c r="K63" s="173"/>
      <c r="L63" s="173"/>
      <c r="M63" s="173"/>
      <c r="N63" s="173"/>
      <c r="O63" s="173"/>
      <c r="P63" s="173"/>
    </row>
    <row r="64" spans="1:16" x14ac:dyDescent="0.2">
      <c r="A64" s="173"/>
      <c r="B64" s="173"/>
      <c r="C64" s="173"/>
      <c r="D64" s="173"/>
      <c r="E64" s="173"/>
      <c r="F64" s="173"/>
      <c r="G64" s="173"/>
      <c r="H64" s="173"/>
      <c r="I64" s="173"/>
      <c r="J64" s="173"/>
      <c r="K64" s="173"/>
      <c r="L64" s="173"/>
      <c r="M64" s="173"/>
      <c r="N64" s="173"/>
      <c r="O64" s="173"/>
      <c r="P64" s="173"/>
    </row>
    <row r="65" spans="1:16" x14ac:dyDescent="0.2">
      <c r="A65" s="174" t="s">
        <v>14</v>
      </c>
      <c r="B65" s="173"/>
      <c r="C65" s="358">
        <f>'Kops a'!C34:H34</f>
        <v>0</v>
      </c>
      <c r="D65" s="358"/>
      <c r="E65" s="358"/>
      <c r="F65" s="358"/>
      <c r="G65" s="358"/>
      <c r="H65" s="358"/>
      <c r="I65" s="173"/>
      <c r="J65" s="173"/>
      <c r="K65" s="173"/>
      <c r="L65" s="173"/>
      <c r="M65" s="173"/>
      <c r="N65" s="173"/>
      <c r="O65" s="173"/>
      <c r="P65" s="173"/>
    </row>
    <row r="66" spans="1:16" x14ac:dyDescent="0.2">
      <c r="A66" s="173"/>
      <c r="B66" s="173"/>
      <c r="C66" s="359" t="s">
        <v>15</v>
      </c>
      <c r="D66" s="359"/>
      <c r="E66" s="359"/>
      <c r="F66" s="359"/>
      <c r="G66" s="359"/>
      <c r="H66" s="359"/>
      <c r="I66" s="173"/>
      <c r="J66" s="173"/>
      <c r="K66" s="173"/>
      <c r="L66" s="173"/>
      <c r="M66" s="173"/>
      <c r="N66" s="173"/>
      <c r="O66" s="173"/>
      <c r="P66" s="173"/>
    </row>
    <row r="67" spans="1:16" x14ac:dyDescent="0.2">
      <c r="A67" s="173"/>
      <c r="B67" s="173"/>
      <c r="C67" s="173"/>
      <c r="D67" s="173"/>
      <c r="E67" s="173"/>
      <c r="F67" s="173"/>
      <c r="G67" s="173"/>
      <c r="H67" s="173"/>
      <c r="I67" s="173"/>
      <c r="J67" s="173"/>
      <c r="K67" s="173"/>
      <c r="L67" s="173"/>
      <c r="M67" s="173"/>
      <c r="N67" s="173"/>
      <c r="O67" s="173"/>
      <c r="P67" s="173"/>
    </row>
    <row r="68" spans="1:16" x14ac:dyDescent="0.2">
      <c r="A68" s="227" t="str">
        <f>'Kops a'!A37</f>
        <v>Tāme sastādīta 2021. gada</v>
      </c>
      <c r="B68" s="228"/>
      <c r="C68" s="228"/>
      <c r="D68" s="228"/>
      <c r="E68" s="173"/>
      <c r="F68" s="173"/>
      <c r="G68" s="173"/>
      <c r="H68" s="173"/>
      <c r="I68" s="173"/>
      <c r="J68" s="173"/>
      <c r="K68" s="173"/>
      <c r="L68" s="173"/>
      <c r="M68" s="173"/>
      <c r="N68" s="173"/>
      <c r="O68" s="173"/>
      <c r="P68" s="173"/>
    </row>
    <row r="69" spans="1:16" x14ac:dyDescent="0.2">
      <c r="A69" s="173"/>
      <c r="B69" s="173"/>
      <c r="C69" s="173"/>
      <c r="D69" s="173"/>
      <c r="E69" s="173"/>
      <c r="F69" s="173"/>
      <c r="G69" s="173"/>
      <c r="H69" s="173"/>
      <c r="I69" s="173"/>
      <c r="J69" s="173"/>
      <c r="K69" s="173"/>
      <c r="L69" s="173"/>
      <c r="M69" s="173"/>
      <c r="N69" s="173"/>
      <c r="O69" s="173"/>
      <c r="P69" s="173"/>
    </row>
    <row r="70" spans="1:16" x14ac:dyDescent="0.2">
      <c r="A70" s="174" t="s">
        <v>37</v>
      </c>
      <c r="B70" s="173"/>
      <c r="C70" s="358">
        <f>'Kops a'!C39:H39</f>
        <v>0</v>
      </c>
      <c r="D70" s="358"/>
      <c r="E70" s="358"/>
      <c r="F70" s="358"/>
      <c r="G70" s="358"/>
      <c r="H70" s="358"/>
      <c r="I70" s="173"/>
      <c r="J70" s="173"/>
      <c r="K70" s="173"/>
      <c r="L70" s="173"/>
      <c r="M70" s="173"/>
      <c r="N70" s="173"/>
      <c r="O70" s="173"/>
      <c r="P70" s="173"/>
    </row>
    <row r="71" spans="1:16" x14ac:dyDescent="0.2">
      <c r="A71" s="173"/>
      <c r="B71" s="173"/>
      <c r="C71" s="359" t="s">
        <v>15</v>
      </c>
      <c r="D71" s="359"/>
      <c r="E71" s="359"/>
      <c r="F71" s="359"/>
      <c r="G71" s="359"/>
      <c r="H71" s="359"/>
      <c r="I71" s="173"/>
      <c r="J71" s="173"/>
      <c r="K71" s="173"/>
      <c r="L71" s="173"/>
      <c r="M71" s="173"/>
      <c r="N71" s="173"/>
      <c r="O71" s="173"/>
      <c r="P71" s="173"/>
    </row>
    <row r="72" spans="1:16" x14ac:dyDescent="0.2">
      <c r="A72" s="173"/>
      <c r="B72" s="173"/>
      <c r="C72" s="173"/>
      <c r="D72" s="173"/>
      <c r="E72" s="173"/>
      <c r="F72" s="173"/>
      <c r="G72" s="173"/>
      <c r="H72" s="173"/>
      <c r="I72" s="173"/>
      <c r="J72" s="173"/>
      <c r="K72" s="173"/>
      <c r="L72" s="173"/>
      <c r="M72" s="173"/>
      <c r="N72" s="173"/>
      <c r="O72" s="173"/>
      <c r="P72" s="173"/>
    </row>
    <row r="73" spans="1:16" x14ac:dyDescent="0.2">
      <c r="A73" s="227" t="s">
        <v>54</v>
      </c>
      <c r="B73" s="228"/>
      <c r="C73" s="229">
        <f>'Kops a'!C42</f>
        <v>0</v>
      </c>
      <c r="D73" s="230"/>
      <c r="E73" s="173"/>
      <c r="F73" s="173"/>
      <c r="G73" s="173"/>
      <c r="H73" s="173"/>
      <c r="I73" s="173"/>
      <c r="J73" s="173"/>
      <c r="K73" s="173"/>
      <c r="L73" s="173"/>
      <c r="M73" s="173"/>
      <c r="N73" s="173"/>
      <c r="O73" s="173"/>
      <c r="P73" s="173"/>
    </row>
    <row r="74" spans="1:16" x14ac:dyDescent="0.2">
      <c r="A74" s="173"/>
      <c r="B74" s="173"/>
      <c r="C74" s="173"/>
      <c r="D74" s="173"/>
      <c r="E74" s="173"/>
      <c r="F74" s="173"/>
      <c r="G74" s="173"/>
      <c r="H74" s="173"/>
      <c r="I74" s="173"/>
      <c r="J74" s="173"/>
      <c r="K74" s="173"/>
      <c r="L74" s="173"/>
      <c r="M74" s="173"/>
      <c r="N74" s="173"/>
      <c r="O74" s="173"/>
      <c r="P74" s="173"/>
    </row>
    <row r="75" spans="1:16" x14ac:dyDescent="0.2">
      <c r="A75" s="231" t="s">
        <v>63</v>
      </c>
      <c r="B75" s="173"/>
      <c r="E75" s="167"/>
      <c r="F75" s="232"/>
      <c r="G75" s="167"/>
      <c r="H75" s="233"/>
      <c r="I75" s="233"/>
      <c r="J75" s="234"/>
      <c r="K75" s="235"/>
      <c r="L75" s="235"/>
      <c r="M75" s="235"/>
      <c r="N75" s="235"/>
      <c r="O75" s="235"/>
    </row>
    <row r="76" spans="1:16" x14ac:dyDescent="0.2">
      <c r="A76" s="357" t="s">
        <v>64</v>
      </c>
      <c r="B76" s="357"/>
      <c r="C76" s="357"/>
      <c r="D76" s="357"/>
      <c r="E76" s="357"/>
      <c r="F76" s="357"/>
      <c r="G76" s="357"/>
      <c r="H76" s="357"/>
      <c r="I76" s="357"/>
      <c r="J76" s="357"/>
      <c r="K76" s="357"/>
      <c r="L76" s="357"/>
      <c r="M76" s="357"/>
      <c r="N76" s="357"/>
      <c r="O76" s="357"/>
    </row>
    <row r="77" spans="1:16" x14ac:dyDescent="0.2">
      <c r="A77" s="357" t="s">
        <v>65</v>
      </c>
      <c r="B77" s="357"/>
      <c r="C77" s="357"/>
      <c r="D77" s="357"/>
      <c r="E77" s="357"/>
      <c r="F77" s="357"/>
      <c r="G77" s="357"/>
      <c r="H77" s="357"/>
      <c r="I77" s="357"/>
      <c r="J77" s="357"/>
      <c r="K77" s="357"/>
      <c r="L77" s="357"/>
      <c r="M77" s="357"/>
      <c r="N77" s="357"/>
      <c r="O77" s="357"/>
    </row>
  </sheetData>
  <mergeCells count="25">
    <mergeCell ref="Q13:R13"/>
    <mergeCell ref="A76:O76"/>
    <mergeCell ref="F12:K12"/>
    <mergeCell ref="A77:O77"/>
    <mergeCell ref="C65:H65"/>
    <mergeCell ref="C66:H66"/>
    <mergeCell ref="C70:H70"/>
    <mergeCell ref="C71:H71"/>
    <mergeCell ref="A62:K62"/>
    <mergeCell ref="C2:I2"/>
    <mergeCell ref="C3:I3"/>
    <mergeCell ref="D5:L5"/>
    <mergeCell ref="D6:L6"/>
    <mergeCell ref="D7:L7"/>
    <mergeCell ref="C4:I4"/>
    <mergeCell ref="D8:L8"/>
    <mergeCell ref="N9:O9"/>
    <mergeCell ref="A12:A13"/>
    <mergeCell ref="B12:B13"/>
    <mergeCell ref="C12:C13"/>
    <mergeCell ref="D12:D13"/>
    <mergeCell ref="E12:E13"/>
    <mergeCell ref="L12:P12"/>
    <mergeCell ref="A9:F9"/>
    <mergeCell ref="J9:M9"/>
  </mergeCells>
  <conditionalFormatting sqref="A43:E43 I14:J42 A14:G42 I44:J61 A44:G61">
    <cfRule type="cellIs" dxfId="171" priority="24" operator="equal">
      <formula>0</formula>
    </cfRule>
  </conditionalFormatting>
  <conditionalFormatting sqref="N9:O9 K14:P42 H14:H42 K44:P61 H44:H61">
    <cfRule type="cellIs" dxfId="170" priority="23" operator="equal">
      <formula>0</formula>
    </cfRule>
  </conditionalFormatting>
  <conditionalFormatting sqref="A9:F9">
    <cfRule type="containsText" dxfId="169" priority="21"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68" priority="20" operator="equal">
      <formula>0</formula>
    </cfRule>
  </conditionalFormatting>
  <conditionalFormatting sqref="O10">
    <cfRule type="cellIs" dxfId="167" priority="19" operator="equal">
      <formula>"20__. gada __. _________"</formula>
    </cfRule>
  </conditionalFormatting>
  <conditionalFormatting sqref="A62:K62">
    <cfRule type="containsText" dxfId="166" priority="18" operator="containsText" text="Tiešās izmaksas kopā, t. sk. darba devēja sociālais nodoklis __.__% ">
      <formula>NOT(ISERROR(SEARCH("Tiešās izmaksas kopā, t. sk. darba devēja sociālais nodoklis __.__% ",A62)))</formula>
    </cfRule>
  </conditionalFormatting>
  <conditionalFormatting sqref="L62:P62">
    <cfRule type="cellIs" dxfId="165" priority="13" operator="equal">
      <formula>0</formula>
    </cfRule>
  </conditionalFormatting>
  <conditionalFormatting sqref="C4:I4">
    <cfRule type="cellIs" dxfId="164" priority="12" operator="equal">
      <formula>0</formula>
    </cfRule>
  </conditionalFormatting>
  <conditionalFormatting sqref="D5:L8">
    <cfRule type="cellIs" dxfId="163" priority="10" operator="equal">
      <formula>0</formula>
    </cfRule>
  </conditionalFormatting>
  <conditionalFormatting sqref="P10">
    <cfRule type="cellIs" dxfId="162" priority="9" operator="equal">
      <formula>"20__. gada __. _________"</formula>
    </cfRule>
  </conditionalFormatting>
  <conditionalFormatting sqref="C70:H70">
    <cfRule type="cellIs" dxfId="161" priority="6" operator="equal">
      <formula>0</formula>
    </cfRule>
  </conditionalFormatting>
  <conditionalFormatting sqref="C65:H65">
    <cfRule type="cellIs" dxfId="160" priority="5" operator="equal">
      <formula>0</formula>
    </cfRule>
  </conditionalFormatting>
  <conditionalFormatting sqref="C70:H70 C73 C65:H65">
    <cfRule type="cellIs" dxfId="159" priority="4" operator="equal">
      <formula>0</formula>
    </cfRule>
  </conditionalFormatting>
  <conditionalFormatting sqref="D1">
    <cfRule type="cellIs" dxfId="158" priority="3" operator="equal">
      <formula>0</formula>
    </cfRule>
  </conditionalFormatting>
  <conditionalFormatting sqref="I43:J43 F43:G43">
    <cfRule type="cellIs" dxfId="157" priority="2" operator="equal">
      <formula>0</formula>
    </cfRule>
  </conditionalFormatting>
  <conditionalFormatting sqref="H43 K43:P43">
    <cfRule type="cellIs" dxfId="156" priority="1" operator="equal">
      <formula>0</formula>
    </cfRule>
  </conditionalFormatting>
  <pageMargins left="0.7" right="0.7" top="0.75" bottom="0.75" header="0.3" footer="0.3"/>
  <pageSetup paperSize="9" scale="85" fitToHeight="0" orientation="landscape" r:id="rId1"/>
  <headerFooter>
    <oddFooter>&amp;R&amp;P</oddFooter>
  </headerFooter>
  <legacyDrawing r:id="rId2"/>
  <extLst>
    <ext xmlns:x14="http://schemas.microsoft.com/office/spreadsheetml/2009/9/main" uri="{78C0D931-6437-407d-A8EE-F0AAD7539E65}">
      <x14:conditionalFormattings>
        <x14:conditionalFormatting xmlns:xm="http://schemas.microsoft.com/office/excel/2006/main">
          <x14:cfRule type="containsText" priority="8" operator="containsText" id="{46B16A03-C867-4231-9EE2-FA19DDA4D492}">
            <xm:f>NOT(ISERROR(SEARCH("Tāme sastādīta ____. gada ___. ______________",A68)))</xm:f>
            <xm:f>"Tāme sastādīta ____. gada ___. ______________"</xm:f>
            <x14:dxf>
              <font>
                <color auto="1"/>
              </font>
              <fill>
                <patternFill>
                  <bgColor rgb="FFC6EFCE"/>
                </patternFill>
              </fill>
            </x14:dxf>
          </x14:cfRule>
          <xm:sqref>A68</xm:sqref>
        </x14:conditionalFormatting>
        <x14:conditionalFormatting xmlns:xm="http://schemas.microsoft.com/office/excel/2006/main">
          <x14:cfRule type="containsText" priority="7" operator="containsText" id="{2AF3CC58-04F0-4432-AA0F-D3D058C3CAD1}">
            <xm:f>NOT(ISERROR(SEARCH("Sertifikāta Nr. _________________________________",A73)))</xm:f>
            <xm:f>"Sertifikāta Nr. _________________________________"</xm:f>
            <x14:dxf>
              <font>
                <color auto="1"/>
              </font>
              <fill>
                <patternFill>
                  <bgColor rgb="FFC6EFCE"/>
                </patternFill>
              </fill>
            </x14:dxf>
          </x14:cfRule>
          <xm:sqref>A73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AG28"/>
  <sheetViews>
    <sheetView topLeftCell="B1" zoomScaleNormal="100" zoomScaleSheetLayoutView="115" workbookViewId="0">
      <selection activeCell="K24" sqref="K24"/>
    </sheetView>
  </sheetViews>
  <sheetFormatPr defaultColWidth="9" defaultRowHeight="11.25" x14ac:dyDescent="0.2"/>
  <cols>
    <col min="1" max="1" width="19.7109375" style="42" customWidth="1"/>
    <col min="2" max="2" width="16.28515625" style="47" customWidth="1"/>
    <col min="3" max="4" width="9" style="47"/>
    <col min="5" max="5" width="4.140625" style="47" customWidth="1"/>
    <col min="6" max="7" width="4.7109375" style="47" customWidth="1"/>
    <col min="8" max="21" width="9" style="47"/>
    <col min="22" max="33" width="9" style="44"/>
    <col min="34" max="16384" width="9" style="47"/>
  </cols>
  <sheetData>
    <row r="1" spans="1:33" s="45" customFormat="1" x14ac:dyDescent="0.2">
      <c r="A1" s="42"/>
      <c r="B1" s="43"/>
      <c r="C1" s="91"/>
      <c r="D1" s="91"/>
      <c r="E1" s="91"/>
      <c r="F1" s="91"/>
      <c r="G1" s="91"/>
      <c r="H1" s="91"/>
      <c r="I1" s="91"/>
      <c r="J1" s="91"/>
      <c r="K1" s="368" t="s">
        <v>68</v>
      </c>
      <c r="L1" s="368"/>
      <c r="M1" s="368" t="s">
        <v>69</v>
      </c>
      <c r="N1" s="368"/>
      <c r="O1" s="368" t="s">
        <v>70</v>
      </c>
      <c r="P1" s="368"/>
      <c r="Q1" s="369" t="s">
        <v>71</v>
      </c>
      <c r="R1" s="369"/>
      <c r="S1" s="369"/>
      <c r="T1" s="369"/>
      <c r="U1" s="369"/>
      <c r="V1" s="44" t="str">
        <f>U2</f>
        <v>Cokola profils</v>
      </c>
      <c r="W1" s="44"/>
      <c r="X1" s="44"/>
      <c r="Y1" s="44" t="s">
        <v>72</v>
      </c>
      <c r="Z1" s="44"/>
      <c r="AA1" s="44"/>
      <c r="AB1" s="44" t="s">
        <v>73</v>
      </c>
      <c r="AC1" s="44"/>
      <c r="AD1" s="44"/>
      <c r="AE1" s="44" t="s">
        <v>74</v>
      </c>
      <c r="AF1" s="44"/>
      <c r="AG1" s="44"/>
    </row>
    <row r="2" spans="1:33" x14ac:dyDescent="0.2">
      <c r="B2" s="364" t="s">
        <v>75</v>
      </c>
      <c r="C2" s="365" t="s">
        <v>76</v>
      </c>
      <c r="D2" s="365"/>
      <c r="E2" s="365"/>
      <c r="F2" s="365" t="s">
        <v>77</v>
      </c>
      <c r="G2" s="365"/>
      <c r="H2" s="365" t="s">
        <v>78</v>
      </c>
      <c r="I2" s="365"/>
      <c r="J2" s="365"/>
      <c r="K2" s="92"/>
      <c r="L2" s="92"/>
      <c r="M2" s="92" t="s">
        <v>79</v>
      </c>
      <c r="N2" s="92" t="s">
        <v>80</v>
      </c>
      <c r="O2" s="92" t="s">
        <v>80</v>
      </c>
      <c r="P2" s="92" t="s">
        <v>79</v>
      </c>
      <c r="Q2" s="366" t="s">
        <v>454</v>
      </c>
      <c r="R2" s="366" t="s">
        <v>455</v>
      </c>
      <c r="S2" s="366" t="s">
        <v>456</v>
      </c>
      <c r="T2" s="366" t="s">
        <v>457</v>
      </c>
      <c r="U2" s="367" t="s">
        <v>458</v>
      </c>
      <c r="V2" s="46"/>
      <c r="AE2" s="47"/>
    </row>
    <row r="3" spans="1:33" ht="22.5" x14ac:dyDescent="0.2">
      <c r="A3" s="47"/>
      <c r="B3" s="364"/>
      <c r="C3" s="90" t="s">
        <v>81</v>
      </c>
      <c r="D3" s="90" t="s">
        <v>82</v>
      </c>
      <c r="E3" s="92" t="s">
        <v>83</v>
      </c>
      <c r="F3" s="92" t="s">
        <v>84</v>
      </c>
      <c r="G3" s="92" t="s">
        <v>85</v>
      </c>
      <c r="H3" s="92" t="s">
        <v>86</v>
      </c>
      <c r="I3" s="90" t="s">
        <v>81</v>
      </c>
      <c r="J3" s="48" t="s">
        <v>82</v>
      </c>
      <c r="K3" s="92" t="s">
        <v>87</v>
      </c>
      <c r="L3" s="92" t="s">
        <v>88</v>
      </c>
      <c r="M3" s="49">
        <v>0.25</v>
      </c>
      <c r="N3" s="49">
        <v>0.3</v>
      </c>
      <c r="O3" s="92"/>
      <c r="P3" s="92"/>
      <c r="Q3" s="366"/>
      <c r="R3" s="366"/>
      <c r="S3" s="366"/>
      <c r="T3" s="366"/>
      <c r="U3" s="367"/>
      <c r="V3" s="47"/>
      <c r="W3" s="47"/>
      <c r="X3" s="47"/>
      <c r="Y3" s="47"/>
      <c r="Z3" s="47"/>
      <c r="AA3" s="47"/>
      <c r="AB3" s="47"/>
      <c r="AC3" s="47"/>
      <c r="AD3" s="47"/>
      <c r="AE3" s="47"/>
      <c r="AF3" s="47"/>
      <c r="AG3" s="47"/>
    </row>
    <row r="4" spans="1:33" x14ac:dyDescent="0.2">
      <c r="A4" s="47"/>
      <c r="B4" s="63" t="s">
        <v>218</v>
      </c>
      <c r="C4" s="69">
        <f t="shared" ref="C4:C5" si="0">E4-D4</f>
        <v>15</v>
      </c>
      <c r="D4" s="70">
        <v>5</v>
      </c>
      <c r="E4" s="70">
        <v>20</v>
      </c>
      <c r="F4" s="70">
        <v>1.7</v>
      </c>
      <c r="G4" s="70">
        <v>1.45</v>
      </c>
      <c r="H4" s="71">
        <f t="shared" ref="H4:H5" si="1">F4*G4</f>
        <v>2.4649999999999999</v>
      </c>
      <c r="I4" s="71">
        <f t="shared" ref="I4:I5" si="2">H4*C4</f>
        <v>36.974999999999994</v>
      </c>
      <c r="J4" s="72">
        <f t="shared" ref="J4:J5" si="3">H4*D4</f>
        <v>12.324999999999999</v>
      </c>
      <c r="K4" s="71">
        <f>(F4*2+G4)*E4</f>
        <v>97</v>
      </c>
      <c r="L4" s="71">
        <f>(F4*2+G4)*D4</f>
        <v>24.25</v>
      </c>
      <c r="M4" s="71">
        <f>K4*$M$3</f>
        <v>24.25</v>
      </c>
      <c r="N4" s="71">
        <f>L4*$N$3</f>
        <v>7.2749999999999995</v>
      </c>
      <c r="O4" s="71">
        <f>F4*D4</f>
        <v>8.5</v>
      </c>
      <c r="P4" s="71">
        <f>E4*F4*1.05</f>
        <v>35.700000000000003</v>
      </c>
      <c r="Q4" s="71">
        <f>E4*G4</f>
        <v>29</v>
      </c>
      <c r="R4" s="71">
        <f>E4*(F4+G4)</f>
        <v>63</v>
      </c>
      <c r="S4" s="71">
        <f t="shared" ref="S4:S25" si="4">E4*F4</f>
        <v>34</v>
      </c>
      <c r="T4" s="71">
        <f>S4</f>
        <v>34</v>
      </c>
      <c r="U4" s="68"/>
      <c r="V4" s="47"/>
      <c r="W4" s="47"/>
      <c r="X4" s="47"/>
      <c r="Y4" s="47"/>
      <c r="Z4" s="47"/>
      <c r="AA4" s="47"/>
      <c r="AB4" s="47"/>
      <c r="AC4" s="47"/>
      <c r="AD4" s="47"/>
      <c r="AE4" s="47"/>
      <c r="AF4" s="47"/>
      <c r="AG4" s="47"/>
    </row>
    <row r="5" spans="1:33" x14ac:dyDescent="0.2">
      <c r="A5" s="47"/>
      <c r="B5" s="63" t="s">
        <v>219</v>
      </c>
      <c r="C5" s="69">
        <f t="shared" si="0"/>
        <v>15</v>
      </c>
      <c r="D5" s="70">
        <f>D4</f>
        <v>5</v>
      </c>
      <c r="E5" s="70">
        <f>E4</f>
        <v>20</v>
      </c>
      <c r="F5" s="70">
        <v>0.7</v>
      </c>
      <c r="G5" s="70">
        <v>2.2999999999999998</v>
      </c>
      <c r="H5" s="71">
        <f t="shared" si="1"/>
        <v>1.6099999999999999</v>
      </c>
      <c r="I5" s="71">
        <f t="shared" si="2"/>
        <v>24.15</v>
      </c>
      <c r="J5" s="72">
        <f t="shared" si="3"/>
        <v>8.0499999999999989</v>
      </c>
      <c r="K5" s="71">
        <f>(F5*2+G5*2-G4)*E5</f>
        <v>91</v>
      </c>
      <c r="L5" s="71">
        <f>(F5*2+G5*2-G4)*D5</f>
        <v>22.75</v>
      </c>
      <c r="M5" s="71">
        <f t="shared" ref="M5:M25" si="5">K5*$M$3</f>
        <v>22.75</v>
      </c>
      <c r="N5" s="71">
        <f t="shared" ref="N5:N23" si="6">L5*$N$3</f>
        <v>6.8250000000000002</v>
      </c>
      <c r="O5" s="71"/>
      <c r="P5" s="71"/>
      <c r="Q5" s="71">
        <f>E5*(2*G5-G4)</f>
        <v>62.999999999999986</v>
      </c>
      <c r="R5" s="71">
        <f>E5*(F5+2*G5-G4)</f>
        <v>77</v>
      </c>
      <c r="S5" s="71">
        <f t="shared" si="4"/>
        <v>14</v>
      </c>
      <c r="T5" s="71"/>
      <c r="U5" s="68"/>
      <c r="V5" s="47"/>
      <c r="W5" s="47"/>
      <c r="X5" s="47"/>
      <c r="Y5" s="47"/>
      <c r="Z5" s="47"/>
      <c r="AA5" s="47"/>
      <c r="AB5" s="47"/>
      <c r="AC5" s="47"/>
      <c r="AD5" s="47"/>
      <c r="AE5" s="47"/>
      <c r="AF5" s="47"/>
      <c r="AG5" s="47"/>
    </row>
    <row r="6" spans="1:33" x14ac:dyDescent="0.2">
      <c r="A6" s="47"/>
      <c r="B6" s="63" t="s">
        <v>220</v>
      </c>
      <c r="C6" s="69">
        <f t="shared" ref="C6:C9" si="7">E6-D6</f>
        <v>14</v>
      </c>
      <c r="D6" s="70">
        <v>10</v>
      </c>
      <c r="E6" s="70">
        <v>24</v>
      </c>
      <c r="F6" s="70">
        <v>1.7</v>
      </c>
      <c r="G6" s="70">
        <v>1.45</v>
      </c>
      <c r="H6" s="71">
        <f t="shared" ref="H6:H9" si="8">F6*G6</f>
        <v>2.4649999999999999</v>
      </c>
      <c r="I6" s="71">
        <f t="shared" ref="I6:I9" si="9">H6*C6</f>
        <v>34.51</v>
      </c>
      <c r="J6" s="72">
        <f t="shared" ref="J6:J9" si="10">H6*D6</f>
        <v>24.65</v>
      </c>
      <c r="K6" s="71">
        <f>(F6*2+G6)*E6</f>
        <v>116.39999999999999</v>
      </c>
      <c r="L6" s="71">
        <f>(F6*2+G6)*D6</f>
        <v>48.5</v>
      </c>
      <c r="M6" s="71">
        <f t="shared" si="5"/>
        <v>29.099999999999998</v>
      </c>
      <c r="N6" s="71">
        <f t="shared" si="6"/>
        <v>14.549999999999999</v>
      </c>
      <c r="O6" s="71">
        <f>F6*D6</f>
        <v>17</v>
      </c>
      <c r="P6" s="71">
        <f>E6*F6*1.05</f>
        <v>42.839999999999996</v>
      </c>
      <c r="Q6" s="71">
        <f>E6*G6</f>
        <v>34.799999999999997</v>
      </c>
      <c r="R6" s="71">
        <f>E6*(F6+G6)</f>
        <v>75.599999999999994</v>
      </c>
      <c r="S6" s="71">
        <f t="shared" si="4"/>
        <v>40.799999999999997</v>
      </c>
      <c r="T6" s="71">
        <f>S6</f>
        <v>40.799999999999997</v>
      </c>
      <c r="U6" s="68"/>
      <c r="V6" s="47"/>
      <c r="W6" s="47"/>
      <c r="X6" s="47"/>
      <c r="Y6" s="47"/>
      <c r="Z6" s="47"/>
      <c r="AA6" s="47"/>
      <c r="AB6" s="47"/>
      <c r="AC6" s="47"/>
      <c r="AD6" s="47"/>
      <c r="AE6" s="47"/>
      <c r="AF6" s="47"/>
      <c r="AG6" s="47"/>
    </row>
    <row r="7" spans="1:33" x14ac:dyDescent="0.2">
      <c r="A7" s="47"/>
      <c r="B7" s="63" t="s">
        <v>221</v>
      </c>
      <c r="C7" s="69">
        <f t="shared" si="7"/>
        <v>14</v>
      </c>
      <c r="D7" s="70">
        <f>D6</f>
        <v>10</v>
      </c>
      <c r="E7" s="70">
        <f>E6</f>
        <v>24</v>
      </c>
      <c r="F7" s="70">
        <v>0.7</v>
      </c>
      <c r="G7" s="70">
        <v>2.2999999999999998</v>
      </c>
      <c r="H7" s="71">
        <f t="shared" si="8"/>
        <v>1.6099999999999999</v>
      </c>
      <c r="I7" s="71">
        <f t="shared" si="9"/>
        <v>22.54</v>
      </c>
      <c r="J7" s="72">
        <f t="shared" si="10"/>
        <v>16.099999999999998</v>
      </c>
      <c r="K7" s="71">
        <f>(F7*2+G7*2-G6)*E7</f>
        <v>109.19999999999999</v>
      </c>
      <c r="L7" s="71">
        <f>(F7*2+G7*2-G6)*D7</f>
        <v>45.5</v>
      </c>
      <c r="M7" s="71">
        <f t="shared" si="5"/>
        <v>27.299999999999997</v>
      </c>
      <c r="N7" s="71">
        <f t="shared" si="6"/>
        <v>13.65</v>
      </c>
      <c r="O7" s="71"/>
      <c r="P7" s="71"/>
      <c r="Q7" s="71">
        <f>E7*(2*G7-G6)</f>
        <v>75.599999999999994</v>
      </c>
      <c r="R7" s="71">
        <f>E7*(F7+2*G7-G6)</f>
        <v>92.399999999999991</v>
      </c>
      <c r="S7" s="71">
        <f t="shared" si="4"/>
        <v>16.799999999999997</v>
      </c>
      <c r="T7" s="71"/>
      <c r="U7" s="68"/>
      <c r="V7" s="47"/>
      <c r="W7" s="47"/>
      <c r="X7" s="47"/>
      <c r="Y7" s="47"/>
      <c r="Z7" s="47"/>
      <c r="AA7" s="47"/>
      <c r="AB7" s="47"/>
      <c r="AC7" s="47"/>
      <c r="AD7" s="47"/>
      <c r="AE7" s="47"/>
      <c r="AF7" s="47"/>
      <c r="AG7" s="47"/>
    </row>
    <row r="8" spans="1:33" x14ac:dyDescent="0.2">
      <c r="A8" s="47"/>
      <c r="B8" s="63" t="s">
        <v>222</v>
      </c>
      <c r="C8" s="69">
        <f t="shared" si="7"/>
        <v>55</v>
      </c>
      <c r="D8" s="70">
        <v>13</v>
      </c>
      <c r="E8" s="70">
        <v>68</v>
      </c>
      <c r="F8" s="70">
        <v>1.1399999999999999</v>
      </c>
      <c r="G8" s="70">
        <v>1.45</v>
      </c>
      <c r="H8" s="71">
        <f>F8*G8</f>
        <v>1.6529999999999998</v>
      </c>
      <c r="I8" s="71">
        <f t="shared" si="9"/>
        <v>90.914999999999992</v>
      </c>
      <c r="J8" s="72">
        <f t="shared" si="10"/>
        <v>21.488999999999997</v>
      </c>
      <c r="K8" s="71">
        <f>(F8*2+G8)*E8</f>
        <v>253.63999999999996</v>
      </c>
      <c r="L8" s="71">
        <f>(F8*2+G8)*D8</f>
        <v>48.489999999999995</v>
      </c>
      <c r="M8" s="71">
        <f t="shared" si="5"/>
        <v>63.409999999999989</v>
      </c>
      <c r="N8" s="71">
        <f t="shared" si="6"/>
        <v>14.546999999999997</v>
      </c>
      <c r="O8" s="71">
        <f>F8*D8</f>
        <v>14.819999999999999</v>
      </c>
      <c r="P8" s="71">
        <f>E8*F8*1.05</f>
        <v>81.396000000000001</v>
      </c>
      <c r="Q8" s="71">
        <f>E8*G8</f>
        <v>98.6</v>
      </c>
      <c r="R8" s="71">
        <f>E8*(F8+G8)</f>
        <v>176.12</v>
      </c>
      <c r="S8" s="71">
        <f t="shared" si="4"/>
        <v>77.52</v>
      </c>
      <c r="T8" s="71">
        <f>S8</f>
        <v>77.52</v>
      </c>
      <c r="U8" s="68"/>
      <c r="V8" s="47"/>
      <c r="W8" s="47"/>
      <c r="X8" s="47"/>
      <c r="Y8" s="47"/>
      <c r="Z8" s="47"/>
      <c r="AA8" s="47"/>
      <c r="AB8" s="47"/>
      <c r="AC8" s="47"/>
      <c r="AD8" s="47"/>
      <c r="AE8" s="47"/>
      <c r="AF8" s="47"/>
      <c r="AG8" s="47"/>
    </row>
    <row r="9" spans="1:33" x14ac:dyDescent="0.2">
      <c r="A9" s="47"/>
      <c r="B9" s="63" t="s">
        <v>223</v>
      </c>
      <c r="C9" s="69">
        <f t="shared" si="7"/>
        <v>55</v>
      </c>
      <c r="D9" s="70">
        <f>D8</f>
        <v>13</v>
      </c>
      <c r="E9" s="70">
        <f>E8</f>
        <v>68</v>
      </c>
      <c r="F9" s="70">
        <v>0.7</v>
      </c>
      <c r="G9" s="70">
        <v>2.2999999999999998</v>
      </c>
      <c r="H9" s="71">
        <f t="shared" si="8"/>
        <v>1.6099999999999999</v>
      </c>
      <c r="I9" s="71">
        <f t="shared" si="9"/>
        <v>88.55</v>
      </c>
      <c r="J9" s="72">
        <f t="shared" si="10"/>
        <v>20.93</v>
      </c>
      <c r="K9" s="71">
        <f>(F9*2+G9*2-G8)*E9</f>
        <v>309.39999999999998</v>
      </c>
      <c r="L9" s="71">
        <f>(F9*2+G9*2-G8)*D9</f>
        <v>59.15</v>
      </c>
      <c r="M9" s="71">
        <f t="shared" si="5"/>
        <v>77.349999999999994</v>
      </c>
      <c r="N9" s="71">
        <f t="shared" si="6"/>
        <v>17.744999999999997</v>
      </c>
      <c r="O9" s="71"/>
      <c r="P9" s="71"/>
      <c r="Q9" s="71">
        <f>E9*(2*G9-G8)</f>
        <v>214.19999999999996</v>
      </c>
      <c r="R9" s="71">
        <f>E9*(F9+2*G9-G8)</f>
        <v>261.79999999999995</v>
      </c>
      <c r="S9" s="71">
        <f t="shared" si="4"/>
        <v>47.599999999999994</v>
      </c>
      <c r="T9" s="71"/>
      <c r="U9" s="68"/>
      <c r="V9" s="47"/>
      <c r="W9" s="47"/>
      <c r="X9" s="47"/>
      <c r="Y9" s="47"/>
      <c r="Z9" s="47"/>
      <c r="AA9" s="47"/>
      <c r="AB9" s="47"/>
      <c r="AC9" s="47"/>
      <c r="AD9" s="47"/>
      <c r="AE9" s="47"/>
      <c r="AF9" s="47"/>
      <c r="AG9" s="47"/>
    </row>
    <row r="10" spans="1:33" x14ac:dyDescent="0.2">
      <c r="A10" s="47"/>
      <c r="B10" s="63" t="s">
        <v>149</v>
      </c>
      <c r="C10" s="69">
        <f t="shared" ref="C10:C11" si="11">E10-D10</f>
        <v>15</v>
      </c>
      <c r="D10" s="70">
        <v>9</v>
      </c>
      <c r="E10" s="70">
        <v>24</v>
      </c>
      <c r="F10" s="70">
        <v>1.1399999999999999</v>
      </c>
      <c r="G10" s="70">
        <v>1.45</v>
      </c>
      <c r="H10" s="71">
        <f t="shared" ref="H10:H11" si="12">F10*G10</f>
        <v>1.6529999999999998</v>
      </c>
      <c r="I10" s="71">
        <f t="shared" ref="I10:I11" si="13">H10*C10</f>
        <v>24.794999999999998</v>
      </c>
      <c r="J10" s="72">
        <f t="shared" ref="J10:J11" si="14">H10*D10</f>
        <v>14.876999999999999</v>
      </c>
      <c r="K10" s="71">
        <f>(F10*2+G10)*E10</f>
        <v>89.519999999999982</v>
      </c>
      <c r="L10" s="71">
        <f>(F10*2+G10)*D10</f>
        <v>33.569999999999993</v>
      </c>
      <c r="M10" s="71">
        <f t="shared" si="5"/>
        <v>22.379999999999995</v>
      </c>
      <c r="N10" s="71">
        <f t="shared" si="6"/>
        <v>10.070999999999998</v>
      </c>
      <c r="O10" s="71">
        <f>F10*D10</f>
        <v>10.26</v>
      </c>
      <c r="P10" s="71">
        <f>E10*F10*1.05</f>
        <v>28.728000000000002</v>
      </c>
      <c r="Q10" s="71">
        <f>E10*G10</f>
        <v>34.799999999999997</v>
      </c>
      <c r="R10" s="71">
        <f>E10*(F10+G10)</f>
        <v>62.16</v>
      </c>
      <c r="S10" s="71">
        <f t="shared" si="4"/>
        <v>27.36</v>
      </c>
      <c r="T10" s="71">
        <f>S10</f>
        <v>27.36</v>
      </c>
      <c r="U10" s="68"/>
      <c r="V10" s="47"/>
      <c r="W10" s="47"/>
      <c r="X10" s="47"/>
      <c r="Y10" s="47"/>
      <c r="Z10" s="47"/>
      <c r="AA10" s="47"/>
      <c r="AB10" s="47"/>
      <c r="AC10" s="47"/>
      <c r="AD10" s="47"/>
      <c r="AE10" s="47"/>
      <c r="AF10" s="47"/>
      <c r="AG10" s="47"/>
    </row>
    <row r="11" spans="1:33" x14ac:dyDescent="0.2">
      <c r="A11" s="47"/>
      <c r="B11" s="63" t="s">
        <v>224</v>
      </c>
      <c r="C11" s="69">
        <f t="shared" si="11"/>
        <v>15</v>
      </c>
      <c r="D11" s="70">
        <f>D10</f>
        <v>9</v>
      </c>
      <c r="E11" s="70">
        <f>E10</f>
        <v>24</v>
      </c>
      <c r="F11" s="70">
        <v>0.7</v>
      </c>
      <c r="G11" s="70">
        <v>2.2999999999999998</v>
      </c>
      <c r="H11" s="71">
        <f t="shared" si="12"/>
        <v>1.6099999999999999</v>
      </c>
      <c r="I11" s="71">
        <f t="shared" si="13"/>
        <v>24.15</v>
      </c>
      <c r="J11" s="72">
        <f t="shared" si="14"/>
        <v>14.489999999999998</v>
      </c>
      <c r="K11" s="71">
        <f>(F11*2+G11*2-G10)*E11</f>
        <v>109.19999999999999</v>
      </c>
      <c r="L11" s="71">
        <f>(F11*2+G11*2-G10)*D11</f>
        <v>40.949999999999996</v>
      </c>
      <c r="M11" s="71">
        <f t="shared" si="5"/>
        <v>27.299999999999997</v>
      </c>
      <c r="N11" s="71">
        <f t="shared" si="6"/>
        <v>12.284999999999998</v>
      </c>
      <c r="O11" s="71"/>
      <c r="P11" s="71"/>
      <c r="Q11" s="71">
        <f>E11*(2*G11-G10)</f>
        <v>75.599999999999994</v>
      </c>
      <c r="R11" s="71">
        <f>E11*(F11+2*G11-G10)</f>
        <v>92.399999999999991</v>
      </c>
      <c r="S11" s="71">
        <f t="shared" si="4"/>
        <v>16.799999999999997</v>
      </c>
      <c r="T11" s="71"/>
      <c r="U11" s="68"/>
      <c r="V11" s="47"/>
      <c r="W11" s="47"/>
      <c r="X11" s="47"/>
      <c r="Y11" s="47"/>
      <c r="Z11" s="47"/>
      <c r="AA11" s="47"/>
      <c r="AB11" s="47"/>
      <c r="AC11" s="47"/>
      <c r="AD11" s="47"/>
      <c r="AE11" s="47"/>
      <c r="AF11" s="47"/>
      <c r="AG11" s="47"/>
    </row>
    <row r="12" spans="1:33" x14ac:dyDescent="0.2">
      <c r="A12" s="47"/>
      <c r="B12" s="63" t="s">
        <v>150</v>
      </c>
      <c r="C12" s="64">
        <f t="shared" ref="C12:C13" si="15">E12-D12</f>
        <v>52</v>
      </c>
      <c r="D12" s="65">
        <v>21</v>
      </c>
      <c r="E12" s="65">
        <v>73</v>
      </c>
      <c r="F12" s="65">
        <v>1.1399999999999999</v>
      </c>
      <c r="G12" s="65">
        <v>1.45</v>
      </c>
      <c r="H12" s="66">
        <f t="shared" ref="H12" si="16">F12*G12</f>
        <v>1.6529999999999998</v>
      </c>
      <c r="I12" s="66">
        <f t="shared" ref="I12" si="17">H12*C12</f>
        <v>85.955999999999989</v>
      </c>
      <c r="J12" s="67">
        <f t="shared" ref="J12" si="18">H12*D12</f>
        <v>34.712999999999994</v>
      </c>
      <c r="K12" s="66">
        <f t="shared" ref="K12" si="19">(F12*2+G12*2)*E12</f>
        <v>378.14</v>
      </c>
      <c r="L12" s="66">
        <f t="shared" ref="L12" si="20">(F12*2+G12*2)*D12</f>
        <v>108.78</v>
      </c>
      <c r="M12" s="71">
        <f t="shared" si="5"/>
        <v>94.534999999999997</v>
      </c>
      <c r="N12" s="71">
        <f t="shared" si="6"/>
        <v>32.634</v>
      </c>
      <c r="O12" s="66">
        <f t="shared" ref="O12" si="21">F12*D12</f>
        <v>23.939999999999998</v>
      </c>
      <c r="P12" s="66">
        <f t="shared" ref="P12" si="22">E12*F12*1.05</f>
        <v>87.381</v>
      </c>
      <c r="Q12" s="66">
        <f t="shared" ref="Q12" si="23">E12*(F12+2*G12)</f>
        <v>294.92</v>
      </c>
      <c r="R12" s="66">
        <f t="shared" ref="R12" si="24">Q12</f>
        <v>294.92</v>
      </c>
      <c r="S12" s="71">
        <f t="shared" si="4"/>
        <v>83.22</v>
      </c>
      <c r="T12" s="66">
        <f t="shared" ref="T12" si="25">S12</f>
        <v>83.22</v>
      </c>
      <c r="U12" s="68"/>
      <c r="V12" s="46"/>
      <c r="W12" s="47"/>
      <c r="X12" s="47"/>
      <c r="Y12" s="47"/>
      <c r="Z12" s="47"/>
      <c r="AA12" s="47"/>
      <c r="AB12" s="47"/>
      <c r="AC12" s="47"/>
      <c r="AD12" s="47"/>
      <c r="AE12" s="47"/>
      <c r="AF12" s="47"/>
      <c r="AG12" s="47"/>
    </row>
    <row r="13" spans="1:33" x14ac:dyDescent="0.2">
      <c r="A13" s="47"/>
      <c r="B13" s="63" t="s">
        <v>151</v>
      </c>
      <c r="C13" s="64">
        <f t="shared" si="15"/>
        <v>20</v>
      </c>
      <c r="D13" s="65">
        <v>4</v>
      </c>
      <c r="E13" s="65">
        <v>24</v>
      </c>
      <c r="F13" s="65">
        <v>1.52</v>
      </c>
      <c r="G13" s="65">
        <v>1.45</v>
      </c>
      <c r="H13" s="66">
        <f t="shared" ref="H13" si="26">F13*G13</f>
        <v>2.2039999999999997</v>
      </c>
      <c r="I13" s="66">
        <f t="shared" ref="I13" si="27">H13*C13</f>
        <v>44.08</v>
      </c>
      <c r="J13" s="67">
        <f t="shared" ref="J13" si="28">H13*D13</f>
        <v>8.8159999999999989</v>
      </c>
      <c r="K13" s="66">
        <f t="shared" ref="K13" si="29">(F13*2+G13*2)*E13</f>
        <v>142.56</v>
      </c>
      <c r="L13" s="66">
        <f t="shared" ref="L13" si="30">(F13*2+G13*2)*D13</f>
        <v>23.759999999999998</v>
      </c>
      <c r="M13" s="71">
        <f t="shared" si="5"/>
        <v>35.64</v>
      </c>
      <c r="N13" s="71">
        <f t="shared" si="6"/>
        <v>7.1279999999999992</v>
      </c>
      <c r="O13" s="66">
        <f t="shared" ref="O13" si="31">F13*D13</f>
        <v>6.08</v>
      </c>
      <c r="P13" s="66">
        <f t="shared" ref="P13" si="32">E13*F13*1.05</f>
        <v>38.304000000000009</v>
      </c>
      <c r="Q13" s="66">
        <f t="shared" ref="Q13" si="33">E13*(F13+2*G13)</f>
        <v>106.08</v>
      </c>
      <c r="R13" s="66">
        <f t="shared" ref="R13" si="34">Q13</f>
        <v>106.08</v>
      </c>
      <c r="S13" s="71">
        <f t="shared" si="4"/>
        <v>36.480000000000004</v>
      </c>
      <c r="T13" s="66">
        <f t="shared" ref="T13" si="35">S13</f>
        <v>36.480000000000004</v>
      </c>
      <c r="U13" s="68"/>
      <c r="V13" s="46"/>
      <c r="W13" s="47"/>
      <c r="X13" s="47"/>
      <c r="Y13" s="47"/>
      <c r="Z13" s="47"/>
      <c r="AA13" s="47"/>
      <c r="AB13" s="47"/>
      <c r="AC13" s="47"/>
      <c r="AD13" s="47"/>
      <c r="AE13" s="47"/>
      <c r="AF13" s="47"/>
      <c r="AG13" s="47"/>
    </row>
    <row r="14" spans="1:33" x14ac:dyDescent="0.2">
      <c r="A14" s="47"/>
      <c r="B14" s="63" t="s">
        <v>152</v>
      </c>
      <c r="C14" s="64">
        <f t="shared" ref="C14" si="36">E14-D14</f>
        <v>1</v>
      </c>
      <c r="D14" s="65">
        <v>2</v>
      </c>
      <c r="E14" s="65">
        <v>3</v>
      </c>
      <c r="F14" s="65">
        <v>1.33</v>
      </c>
      <c r="G14" s="65">
        <v>1.45</v>
      </c>
      <c r="H14" s="66">
        <f t="shared" ref="H14" si="37">F14*G14</f>
        <v>1.9285000000000001</v>
      </c>
      <c r="I14" s="66">
        <f t="shared" ref="I14" si="38">H14*C14</f>
        <v>1.9285000000000001</v>
      </c>
      <c r="J14" s="67">
        <f t="shared" ref="J14" si="39">H14*D14</f>
        <v>3.8570000000000002</v>
      </c>
      <c r="K14" s="66">
        <f t="shared" ref="K14" si="40">(F14*2+G14*2)*E14</f>
        <v>16.68</v>
      </c>
      <c r="L14" s="66">
        <f t="shared" ref="L14" si="41">(F14*2+G14*2)*D14</f>
        <v>11.120000000000001</v>
      </c>
      <c r="M14" s="71">
        <f t="shared" si="5"/>
        <v>4.17</v>
      </c>
      <c r="N14" s="71">
        <f t="shared" si="6"/>
        <v>3.3360000000000003</v>
      </c>
      <c r="O14" s="66">
        <f t="shared" ref="O14" si="42">F14*D14</f>
        <v>2.66</v>
      </c>
      <c r="P14" s="66">
        <f t="shared" ref="P14" si="43">E14*F14*1.05</f>
        <v>4.1895000000000007</v>
      </c>
      <c r="Q14" s="66">
        <f t="shared" ref="Q14" si="44">E14*(F14+2*G14)</f>
        <v>12.690000000000001</v>
      </c>
      <c r="R14" s="66">
        <f t="shared" ref="R14" si="45">Q14</f>
        <v>12.690000000000001</v>
      </c>
      <c r="S14" s="71">
        <f t="shared" si="4"/>
        <v>3.99</v>
      </c>
      <c r="T14" s="66">
        <f t="shared" ref="T14" si="46">S14</f>
        <v>3.99</v>
      </c>
      <c r="U14" s="68"/>
      <c r="V14" s="46"/>
      <c r="W14" s="47"/>
      <c r="X14" s="47"/>
      <c r="Y14" s="47"/>
      <c r="Z14" s="47"/>
      <c r="AA14" s="47"/>
      <c r="AB14" s="47"/>
      <c r="AC14" s="47"/>
      <c r="AD14" s="47"/>
      <c r="AE14" s="47"/>
      <c r="AF14" s="47"/>
      <c r="AG14" s="47"/>
    </row>
    <row r="15" spans="1:33" x14ac:dyDescent="0.2">
      <c r="A15" s="47"/>
      <c r="B15" s="63" t="s">
        <v>153</v>
      </c>
      <c r="C15" s="64">
        <f t="shared" ref="C15:C16" si="47">E15-D15</f>
        <v>3</v>
      </c>
      <c r="D15" s="65">
        <v>1</v>
      </c>
      <c r="E15" s="65">
        <v>4</v>
      </c>
      <c r="F15" s="65">
        <v>2.37</v>
      </c>
      <c r="G15" s="65">
        <v>1.45</v>
      </c>
      <c r="H15" s="66">
        <f t="shared" ref="H15:H16" si="48">F15*G15</f>
        <v>3.4365000000000001</v>
      </c>
      <c r="I15" s="66">
        <f t="shared" ref="I15:I16" si="49">H15*C15</f>
        <v>10.3095</v>
      </c>
      <c r="J15" s="67">
        <f t="shared" ref="J15:J16" si="50">H15*D15</f>
        <v>3.4365000000000001</v>
      </c>
      <c r="K15" s="66">
        <f t="shared" ref="K15:K16" si="51">(F15*2+G15*2)*E15</f>
        <v>30.560000000000002</v>
      </c>
      <c r="L15" s="66">
        <f t="shared" ref="L15:L16" si="52">(F15*2+G15*2)*D15</f>
        <v>7.6400000000000006</v>
      </c>
      <c r="M15" s="71">
        <f t="shared" si="5"/>
        <v>7.6400000000000006</v>
      </c>
      <c r="N15" s="71">
        <f t="shared" si="6"/>
        <v>2.2920000000000003</v>
      </c>
      <c r="O15" s="66">
        <f t="shared" ref="O15:O16" si="53">F15*D15</f>
        <v>2.37</v>
      </c>
      <c r="P15" s="66">
        <f t="shared" ref="P15:P16" si="54">E15*F15*1.05</f>
        <v>9.9540000000000006</v>
      </c>
      <c r="Q15" s="66">
        <f t="shared" ref="Q15:Q16" si="55">E15*(F15+2*G15)</f>
        <v>21.08</v>
      </c>
      <c r="R15" s="66">
        <f t="shared" ref="R15:R16" si="56">Q15</f>
        <v>21.08</v>
      </c>
      <c r="S15" s="71">
        <f t="shared" si="4"/>
        <v>9.48</v>
      </c>
      <c r="T15" s="66">
        <f t="shared" ref="T15:T16" si="57">S15</f>
        <v>9.48</v>
      </c>
      <c r="U15" s="68"/>
      <c r="V15" s="46"/>
      <c r="W15" s="47"/>
      <c r="X15" s="47"/>
      <c r="Y15" s="47"/>
      <c r="Z15" s="47"/>
      <c r="AA15" s="47"/>
      <c r="AB15" s="47"/>
      <c r="AC15" s="47"/>
      <c r="AD15" s="47"/>
      <c r="AE15" s="47"/>
      <c r="AF15" s="47"/>
      <c r="AG15" s="47"/>
    </row>
    <row r="16" spans="1:33" x14ac:dyDescent="0.2">
      <c r="A16" s="47"/>
      <c r="B16" s="63" t="s">
        <v>154</v>
      </c>
      <c r="C16" s="64">
        <f t="shared" si="47"/>
        <v>0</v>
      </c>
      <c r="D16" s="65">
        <v>1</v>
      </c>
      <c r="E16" s="65">
        <v>1</v>
      </c>
      <c r="F16" s="65">
        <v>1.75</v>
      </c>
      <c r="G16" s="65">
        <v>1.45</v>
      </c>
      <c r="H16" s="66">
        <f t="shared" si="48"/>
        <v>2.5375000000000001</v>
      </c>
      <c r="I16" s="66">
        <f t="shared" si="49"/>
        <v>0</v>
      </c>
      <c r="J16" s="67">
        <f t="shared" si="50"/>
        <v>2.5375000000000001</v>
      </c>
      <c r="K16" s="66">
        <f t="shared" si="51"/>
        <v>6.4</v>
      </c>
      <c r="L16" s="66">
        <f t="shared" si="52"/>
        <v>6.4</v>
      </c>
      <c r="M16" s="71">
        <f t="shared" si="5"/>
        <v>1.6</v>
      </c>
      <c r="N16" s="71">
        <f t="shared" si="6"/>
        <v>1.92</v>
      </c>
      <c r="O16" s="66">
        <f t="shared" si="53"/>
        <v>1.75</v>
      </c>
      <c r="P16" s="66">
        <f t="shared" si="54"/>
        <v>1.8375000000000001</v>
      </c>
      <c r="Q16" s="66">
        <f t="shared" si="55"/>
        <v>4.6500000000000004</v>
      </c>
      <c r="R16" s="66">
        <f t="shared" si="56"/>
        <v>4.6500000000000004</v>
      </c>
      <c r="S16" s="71">
        <f t="shared" si="4"/>
        <v>1.75</v>
      </c>
      <c r="T16" s="66">
        <f t="shared" si="57"/>
        <v>1.75</v>
      </c>
      <c r="U16" s="68"/>
      <c r="V16" s="46"/>
      <c r="W16" s="47"/>
      <c r="X16" s="47"/>
      <c r="Y16" s="47"/>
      <c r="Z16" s="47"/>
      <c r="AA16" s="47"/>
      <c r="AB16" s="47"/>
      <c r="AC16" s="47"/>
      <c r="AD16" s="47"/>
      <c r="AE16" s="47"/>
      <c r="AF16" s="47"/>
      <c r="AG16" s="47"/>
    </row>
    <row r="17" spans="1:33" x14ac:dyDescent="0.2">
      <c r="A17" s="47"/>
      <c r="B17" s="63" t="s">
        <v>155</v>
      </c>
      <c r="C17" s="64">
        <f t="shared" ref="C17" si="58">E17-D17</f>
        <v>0</v>
      </c>
      <c r="D17" s="65">
        <v>12</v>
      </c>
      <c r="E17" s="65">
        <v>12</v>
      </c>
      <c r="F17" s="65">
        <v>1.1499999999999999</v>
      </c>
      <c r="G17" s="65">
        <v>0.45</v>
      </c>
      <c r="H17" s="66">
        <f t="shared" ref="H17" si="59">F17*G17</f>
        <v>0.51749999999999996</v>
      </c>
      <c r="I17" s="66">
        <f t="shared" ref="I17" si="60">H17*C17</f>
        <v>0</v>
      </c>
      <c r="J17" s="67">
        <f t="shared" ref="J17" si="61">H17*D17</f>
        <v>6.2099999999999991</v>
      </c>
      <c r="K17" s="66">
        <f t="shared" ref="K17" si="62">(F17*2+G17*2)*E17</f>
        <v>38.4</v>
      </c>
      <c r="L17" s="66">
        <f t="shared" ref="L17" si="63">(F17*2+G17*2)*D17</f>
        <v>38.4</v>
      </c>
      <c r="M17" s="71">
        <f t="shared" si="5"/>
        <v>9.6</v>
      </c>
      <c r="N17" s="71">
        <f t="shared" si="6"/>
        <v>11.52</v>
      </c>
      <c r="O17" s="66">
        <f t="shared" ref="O17" si="64">F17*D17</f>
        <v>13.799999999999999</v>
      </c>
      <c r="P17" s="66">
        <f t="shared" ref="P17" si="65">E17*F17*1.05</f>
        <v>14.49</v>
      </c>
      <c r="Q17" s="66">
        <f t="shared" ref="Q17" si="66">E17*(F17+2*G17)</f>
        <v>24.599999999999998</v>
      </c>
      <c r="R17" s="66">
        <f t="shared" ref="R17" si="67">Q17</f>
        <v>24.599999999999998</v>
      </c>
      <c r="S17" s="71">
        <f t="shared" si="4"/>
        <v>13.799999999999999</v>
      </c>
      <c r="T17" s="66">
        <f t="shared" ref="T17" si="68">S17</f>
        <v>13.799999999999999</v>
      </c>
      <c r="U17" s="68"/>
      <c r="V17" s="46"/>
      <c r="W17" s="47"/>
      <c r="X17" s="47"/>
      <c r="Y17" s="47"/>
      <c r="Z17" s="47"/>
      <c r="AA17" s="47"/>
      <c r="AB17" s="47"/>
      <c r="AC17" s="47"/>
      <c r="AD17" s="47"/>
      <c r="AE17" s="47"/>
      <c r="AF17" s="47"/>
      <c r="AG17" s="47"/>
    </row>
    <row r="18" spans="1:33" x14ac:dyDescent="0.2">
      <c r="A18" s="47"/>
      <c r="B18" s="63" t="s">
        <v>160</v>
      </c>
      <c r="C18" s="64">
        <f t="shared" ref="C18" si="69">E18-D18</f>
        <v>3</v>
      </c>
      <c r="D18" s="65">
        <v>1</v>
      </c>
      <c r="E18" s="65">
        <v>4</v>
      </c>
      <c r="F18" s="65">
        <v>2.37</v>
      </c>
      <c r="G18" s="65">
        <v>1.45</v>
      </c>
      <c r="H18" s="66">
        <f t="shared" ref="H18" si="70">F18*G18</f>
        <v>3.4365000000000001</v>
      </c>
      <c r="I18" s="66">
        <f t="shared" ref="I18" si="71">H18*C18</f>
        <v>10.3095</v>
      </c>
      <c r="J18" s="67">
        <f t="shared" ref="J18" si="72">H18*D18</f>
        <v>3.4365000000000001</v>
      </c>
      <c r="K18" s="66">
        <f t="shared" ref="K18" si="73">(F18*2+G18*2)*E18</f>
        <v>30.560000000000002</v>
      </c>
      <c r="L18" s="66">
        <f t="shared" ref="L18" si="74">(F18*2+G18*2)*D18</f>
        <v>7.6400000000000006</v>
      </c>
      <c r="M18" s="71">
        <f t="shared" si="5"/>
        <v>7.6400000000000006</v>
      </c>
      <c r="N18" s="71">
        <f t="shared" si="6"/>
        <v>2.2920000000000003</v>
      </c>
      <c r="O18" s="66">
        <f t="shared" ref="O18" si="75">F18*D18</f>
        <v>2.37</v>
      </c>
      <c r="P18" s="66">
        <f t="shared" ref="P18" si="76">E18*F18*1.05</f>
        <v>9.9540000000000006</v>
      </c>
      <c r="Q18" s="66">
        <f t="shared" ref="Q18" si="77">E18*(F18+2*G18)</f>
        <v>21.08</v>
      </c>
      <c r="R18" s="66">
        <f t="shared" ref="R18" si="78">Q18</f>
        <v>21.08</v>
      </c>
      <c r="S18" s="71">
        <f t="shared" si="4"/>
        <v>9.48</v>
      </c>
      <c r="T18" s="66">
        <f t="shared" ref="T18" si="79">S18</f>
        <v>9.48</v>
      </c>
      <c r="U18" s="68"/>
      <c r="V18" s="46"/>
      <c r="W18" s="47"/>
      <c r="X18" s="47"/>
      <c r="Y18" s="47"/>
      <c r="Z18" s="47"/>
      <c r="AA18" s="47"/>
      <c r="AB18" s="47"/>
      <c r="AC18" s="47"/>
      <c r="AD18" s="47"/>
      <c r="AE18" s="47"/>
      <c r="AF18" s="47"/>
      <c r="AG18" s="47"/>
    </row>
    <row r="19" spans="1:33" x14ac:dyDescent="0.2">
      <c r="A19" s="47"/>
      <c r="B19" s="63" t="s">
        <v>161</v>
      </c>
      <c r="C19" s="64">
        <f t="shared" ref="C19" si="80">E19-D19</f>
        <v>46</v>
      </c>
      <c r="D19" s="65">
        <v>0</v>
      </c>
      <c r="E19" s="65">
        <v>46</v>
      </c>
      <c r="F19" s="65">
        <v>1.35</v>
      </c>
      <c r="G19" s="65">
        <v>0.6</v>
      </c>
      <c r="H19" s="66">
        <f t="shared" ref="H19" si="81">F19*G19</f>
        <v>0.81</v>
      </c>
      <c r="I19" s="66">
        <f t="shared" ref="I19" si="82">H19*C19</f>
        <v>37.260000000000005</v>
      </c>
      <c r="J19" s="67">
        <f t="shared" ref="J19" si="83">H19*D19</f>
        <v>0</v>
      </c>
      <c r="K19" s="66">
        <f t="shared" ref="K19" si="84">(F19*2+G19*2)*E19</f>
        <v>179.4</v>
      </c>
      <c r="L19" s="66">
        <f t="shared" ref="L19" si="85">(F19*2+G19*2)*D19</f>
        <v>0</v>
      </c>
      <c r="M19" s="71">
        <f t="shared" si="5"/>
        <v>44.85</v>
      </c>
      <c r="N19" s="71">
        <f t="shared" si="6"/>
        <v>0</v>
      </c>
      <c r="O19" s="66">
        <f t="shared" ref="O19" si="86">F19*D19</f>
        <v>0</v>
      </c>
      <c r="P19" s="66">
        <f t="shared" ref="P19" si="87">E19*F19*1.05</f>
        <v>65.204999999999998</v>
      </c>
      <c r="Q19" s="66">
        <f t="shared" ref="Q19" si="88">E19*(F19+2*G19)</f>
        <v>117.3</v>
      </c>
      <c r="R19" s="66">
        <f t="shared" ref="R19" si="89">Q19</f>
        <v>117.3</v>
      </c>
      <c r="S19" s="71">
        <f t="shared" si="4"/>
        <v>62.1</v>
      </c>
      <c r="T19" s="66">
        <f t="shared" ref="T19" si="90">S19</f>
        <v>62.1</v>
      </c>
      <c r="U19" s="68"/>
      <c r="V19" s="46"/>
      <c r="W19" s="47"/>
      <c r="X19" s="47"/>
      <c r="Y19" s="47"/>
      <c r="Z19" s="47"/>
      <c r="AA19" s="47"/>
      <c r="AB19" s="47"/>
      <c r="AC19" s="47"/>
      <c r="AD19" s="47"/>
      <c r="AE19" s="47"/>
      <c r="AF19" s="47"/>
      <c r="AG19" s="47"/>
    </row>
    <row r="20" spans="1:33" x14ac:dyDescent="0.2">
      <c r="A20" s="47"/>
      <c r="B20" s="103" t="s">
        <v>225</v>
      </c>
      <c r="C20" s="64">
        <f t="shared" ref="C20" si="91">E20-D20</f>
        <v>3</v>
      </c>
      <c r="D20" s="65">
        <v>1</v>
      </c>
      <c r="E20" s="65">
        <v>4</v>
      </c>
      <c r="F20" s="65">
        <v>3.3</v>
      </c>
      <c r="G20" s="65">
        <v>1.45</v>
      </c>
      <c r="H20" s="66">
        <f t="shared" ref="H20" si="92">F20*G20</f>
        <v>4.7849999999999993</v>
      </c>
      <c r="I20" s="66">
        <f t="shared" ref="I20" si="93">H20*C20</f>
        <v>14.354999999999997</v>
      </c>
      <c r="J20" s="67">
        <f t="shared" ref="J20" si="94">H20*D20</f>
        <v>4.7849999999999993</v>
      </c>
      <c r="K20" s="66">
        <f t="shared" ref="K20" si="95">(F20*2+G20*2)*E20</f>
        <v>38</v>
      </c>
      <c r="L20" s="66">
        <f t="shared" ref="L20" si="96">(F20*2+G20*2)*D20</f>
        <v>9.5</v>
      </c>
      <c r="M20" s="71">
        <f t="shared" si="5"/>
        <v>9.5</v>
      </c>
      <c r="N20" s="71">
        <f t="shared" si="6"/>
        <v>2.85</v>
      </c>
      <c r="O20" s="66">
        <f t="shared" ref="O20" si="97">F20*D20</f>
        <v>3.3</v>
      </c>
      <c r="P20" s="66">
        <f t="shared" ref="P20" si="98">E20*F20*1.05</f>
        <v>13.86</v>
      </c>
      <c r="Q20" s="66">
        <f t="shared" ref="Q20" si="99">E20*(F20+2*G20)</f>
        <v>24.799999999999997</v>
      </c>
      <c r="R20" s="66">
        <f t="shared" ref="R20" si="100">Q20</f>
        <v>24.799999999999997</v>
      </c>
      <c r="S20" s="71">
        <f t="shared" si="4"/>
        <v>13.2</v>
      </c>
      <c r="T20" s="66">
        <f t="shared" ref="T20" si="101">S20</f>
        <v>13.2</v>
      </c>
      <c r="U20" s="68"/>
      <c r="V20" s="46"/>
      <c r="W20" s="47"/>
      <c r="X20" s="47"/>
      <c r="Y20" s="47"/>
      <c r="Z20" s="47"/>
      <c r="AA20" s="47"/>
      <c r="AB20" s="47"/>
      <c r="AC20" s="47"/>
      <c r="AD20" s="47"/>
      <c r="AE20" s="47"/>
      <c r="AF20" s="47"/>
      <c r="AG20" s="47"/>
    </row>
    <row r="21" spans="1:33" x14ac:dyDescent="0.2">
      <c r="A21" s="47"/>
      <c r="B21" s="63" t="s">
        <v>156</v>
      </c>
      <c r="C21" s="64">
        <f t="shared" ref="C21" si="102">E21-D21</f>
        <v>5</v>
      </c>
      <c r="D21" s="65">
        <v>3</v>
      </c>
      <c r="E21" s="65">
        <v>8</v>
      </c>
      <c r="F21" s="65">
        <v>0.7</v>
      </c>
      <c r="G21" s="65">
        <v>2.2999999999999998</v>
      </c>
      <c r="H21" s="66">
        <f t="shared" ref="H21" si="103">F21*G21</f>
        <v>1.6099999999999999</v>
      </c>
      <c r="I21" s="66">
        <f t="shared" ref="I21" si="104">H21*C21</f>
        <v>8.0499999999999989</v>
      </c>
      <c r="J21" s="67">
        <f t="shared" ref="J21" si="105">H21*D21</f>
        <v>4.83</v>
      </c>
      <c r="K21" s="66">
        <f t="shared" ref="K21" si="106">(F21*2+G21*2)*E21</f>
        <v>48</v>
      </c>
      <c r="L21" s="66">
        <f t="shared" ref="L21" si="107">(F21*2+G21*2)*D21</f>
        <v>18</v>
      </c>
      <c r="M21" s="71">
        <f t="shared" si="5"/>
        <v>12</v>
      </c>
      <c r="N21" s="71">
        <f t="shared" si="6"/>
        <v>5.3999999999999995</v>
      </c>
      <c r="O21" s="66"/>
      <c r="P21" s="66"/>
      <c r="Q21" s="66">
        <f t="shared" ref="Q21" si="108">E21*(F21+2*G21)</f>
        <v>42.4</v>
      </c>
      <c r="R21" s="66">
        <f t="shared" ref="R21" si="109">Q21</f>
        <v>42.4</v>
      </c>
      <c r="S21" s="71">
        <f t="shared" si="4"/>
        <v>5.6</v>
      </c>
      <c r="T21" s="66"/>
      <c r="U21" s="68"/>
      <c r="V21" s="46"/>
      <c r="W21" s="47"/>
      <c r="X21" s="47"/>
      <c r="Y21" s="47"/>
      <c r="Z21" s="47"/>
      <c r="AA21" s="47"/>
      <c r="AB21" s="47"/>
      <c r="AC21" s="47"/>
      <c r="AD21" s="47"/>
      <c r="AE21" s="47"/>
      <c r="AF21" s="47"/>
      <c r="AG21" s="47"/>
    </row>
    <row r="22" spans="1:33" x14ac:dyDescent="0.2">
      <c r="A22" s="47"/>
      <c r="B22" s="63" t="s">
        <v>157</v>
      </c>
      <c r="C22" s="64">
        <f t="shared" ref="C22" si="110">E22-D22</f>
        <v>0</v>
      </c>
      <c r="D22" s="65">
        <v>5</v>
      </c>
      <c r="E22" s="65">
        <v>5</v>
      </c>
      <c r="F22" s="65">
        <v>0.9</v>
      </c>
      <c r="G22" s="65">
        <v>2</v>
      </c>
      <c r="H22" s="66">
        <f t="shared" ref="H22" si="111">F22*G22</f>
        <v>1.8</v>
      </c>
      <c r="I22" s="66">
        <f t="shared" ref="I22" si="112">H22*C22</f>
        <v>0</v>
      </c>
      <c r="J22" s="67">
        <f t="shared" ref="J22" si="113">H22*D22</f>
        <v>9</v>
      </c>
      <c r="K22" s="66">
        <f t="shared" ref="K22" si="114">(F22*2+G22*2)*E22</f>
        <v>29</v>
      </c>
      <c r="L22" s="66">
        <f t="shared" ref="L22" si="115">(F22*2+G22*2)*D22</f>
        <v>29</v>
      </c>
      <c r="M22" s="71">
        <f t="shared" si="5"/>
        <v>7.25</v>
      </c>
      <c r="N22" s="71"/>
      <c r="O22" s="66"/>
      <c r="P22" s="66"/>
      <c r="Q22" s="66">
        <f>E22*(2*G22)</f>
        <v>20</v>
      </c>
      <c r="R22" s="66">
        <f t="shared" ref="R22" si="116">Q22</f>
        <v>20</v>
      </c>
      <c r="S22" s="71">
        <f t="shared" si="4"/>
        <v>4.5</v>
      </c>
      <c r="T22" s="66"/>
      <c r="U22" s="68"/>
      <c r="V22" s="46"/>
      <c r="W22" s="47"/>
      <c r="X22" s="47"/>
      <c r="Y22" s="47"/>
      <c r="Z22" s="47"/>
      <c r="AA22" s="47"/>
      <c r="AB22" s="47"/>
      <c r="AC22" s="47"/>
      <c r="AD22" s="47"/>
      <c r="AE22" s="47"/>
      <c r="AF22" s="47"/>
      <c r="AG22" s="47"/>
    </row>
    <row r="23" spans="1:33" x14ac:dyDescent="0.2">
      <c r="A23" s="47"/>
      <c r="B23" s="63" t="s">
        <v>158</v>
      </c>
      <c r="C23" s="64">
        <f t="shared" ref="C23" si="117">E23-D23</f>
        <v>0</v>
      </c>
      <c r="D23" s="65">
        <v>5</v>
      </c>
      <c r="E23" s="65">
        <v>5</v>
      </c>
      <c r="F23" s="65">
        <v>1.26</v>
      </c>
      <c r="G23" s="65">
        <v>2</v>
      </c>
      <c r="H23" s="66">
        <f t="shared" ref="H23" si="118">F23*G23</f>
        <v>2.52</v>
      </c>
      <c r="I23" s="66">
        <f t="shared" ref="I23" si="119">H23*C23</f>
        <v>0</v>
      </c>
      <c r="J23" s="67">
        <f t="shared" ref="J23" si="120">H23*D23</f>
        <v>12.6</v>
      </c>
      <c r="K23" s="66">
        <f t="shared" ref="K23" si="121">(F23*2+G23*2)*E23</f>
        <v>32.599999999999994</v>
      </c>
      <c r="L23" s="66">
        <f t="shared" ref="L23" si="122">(F23*2+G23*2)*D23</f>
        <v>32.599999999999994</v>
      </c>
      <c r="M23" s="71">
        <f t="shared" si="5"/>
        <v>8.1499999999999986</v>
      </c>
      <c r="N23" s="71">
        <f t="shared" si="6"/>
        <v>9.7799999999999976</v>
      </c>
      <c r="O23" s="66"/>
      <c r="P23" s="66"/>
      <c r="Q23" s="66">
        <f>E23*(2*G23)</f>
        <v>20</v>
      </c>
      <c r="R23" s="66">
        <f t="shared" ref="R23" si="123">Q23</f>
        <v>20</v>
      </c>
      <c r="S23" s="71">
        <f t="shared" si="4"/>
        <v>6.3</v>
      </c>
      <c r="T23" s="66"/>
      <c r="U23" s="68"/>
      <c r="V23" s="46"/>
      <c r="W23" s="47"/>
      <c r="X23" s="47"/>
      <c r="Y23" s="47"/>
      <c r="Z23" s="47"/>
      <c r="AA23" s="47"/>
      <c r="AB23" s="47"/>
      <c r="AC23" s="47"/>
      <c r="AD23" s="47"/>
      <c r="AE23" s="47"/>
      <c r="AF23" s="47"/>
      <c r="AG23" s="47"/>
    </row>
    <row r="24" spans="1:33" x14ac:dyDescent="0.2">
      <c r="A24" s="47"/>
      <c r="B24" s="63" t="s">
        <v>159</v>
      </c>
      <c r="C24" s="64">
        <f t="shared" ref="C24" si="124">E24-D24</f>
        <v>0</v>
      </c>
      <c r="D24" s="65">
        <v>5</v>
      </c>
      <c r="E24" s="65">
        <v>5</v>
      </c>
      <c r="F24" s="65">
        <v>1.1000000000000001</v>
      </c>
      <c r="G24" s="65">
        <v>1.9</v>
      </c>
      <c r="H24" s="66">
        <f t="shared" ref="H24" si="125">F24*G24</f>
        <v>2.09</v>
      </c>
      <c r="I24" s="66">
        <f t="shared" ref="I24" si="126">H24*C24</f>
        <v>0</v>
      </c>
      <c r="J24" s="67">
        <f t="shared" ref="J24" si="127">H24*D24</f>
        <v>10.45</v>
      </c>
      <c r="K24" s="66">
        <f t="shared" ref="K24" si="128">(F24*2+G24*2)*E24</f>
        <v>30</v>
      </c>
      <c r="L24" s="66">
        <f t="shared" ref="L24" si="129">(F24*2+G24*2)*D24</f>
        <v>30</v>
      </c>
      <c r="M24" s="71">
        <f t="shared" si="5"/>
        <v>7.5</v>
      </c>
      <c r="N24" s="71"/>
      <c r="O24" s="66"/>
      <c r="P24" s="66"/>
      <c r="Q24" s="66">
        <f t="shared" ref="Q24" si="130">E24*(F24+2*G24)</f>
        <v>24.5</v>
      </c>
      <c r="R24" s="66">
        <f t="shared" ref="R24" si="131">Q24</f>
        <v>24.5</v>
      </c>
      <c r="S24" s="71">
        <f t="shared" si="4"/>
        <v>5.5</v>
      </c>
      <c r="T24" s="66"/>
      <c r="U24" s="68"/>
      <c r="V24" s="46"/>
      <c r="W24" s="47"/>
      <c r="X24" s="47"/>
      <c r="Y24" s="47"/>
      <c r="Z24" s="47"/>
      <c r="AA24" s="47"/>
      <c r="AB24" s="47"/>
      <c r="AC24" s="47"/>
      <c r="AD24" s="47"/>
      <c r="AE24" s="47"/>
      <c r="AF24" s="47"/>
      <c r="AG24" s="47"/>
    </row>
    <row r="25" spans="1:33" x14ac:dyDescent="0.2">
      <c r="A25" s="47"/>
      <c r="B25" s="73" t="s">
        <v>162</v>
      </c>
      <c r="C25" s="64">
        <f t="shared" ref="C25" si="132">E25-D25</f>
        <v>0</v>
      </c>
      <c r="D25" s="65">
        <v>5</v>
      </c>
      <c r="E25" s="65">
        <v>5</v>
      </c>
      <c r="F25" s="65">
        <v>2.5299999999999998</v>
      </c>
      <c r="G25" s="65">
        <v>2.9</v>
      </c>
      <c r="H25" s="66">
        <f t="shared" ref="H25" si="133">F25*G25</f>
        <v>7.3369999999999989</v>
      </c>
      <c r="I25" s="66">
        <f t="shared" ref="I25" si="134">H25*C25</f>
        <v>0</v>
      </c>
      <c r="J25" s="67">
        <f t="shared" ref="J25" si="135">H25*D25</f>
        <v>36.684999999999995</v>
      </c>
      <c r="K25" s="66">
        <f t="shared" ref="K25" si="136">(F25*2+G25*2)*E25</f>
        <v>54.3</v>
      </c>
      <c r="L25" s="66">
        <f t="shared" ref="L25" si="137">(F25*2+G25*2)*D25</f>
        <v>54.3</v>
      </c>
      <c r="M25" s="71">
        <f t="shared" si="5"/>
        <v>13.574999999999999</v>
      </c>
      <c r="N25" s="71">
        <f>L25*$N$3</f>
        <v>16.29</v>
      </c>
      <c r="O25" s="66"/>
      <c r="P25" s="66"/>
      <c r="Q25" s="66">
        <f t="shared" ref="Q25" si="138">E25*(F25+2*G25)</f>
        <v>41.65</v>
      </c>
      <c r="R25" s="66">
        <f t="shared" ref="R25" si="139">Q25</f>
        <v>41.65</v>
      </c>
      <c r="S25" s="71">
        <f t="shared" si="4"/>
        <v>12.649999999999999</v>
      </c>
      <c r="T25" s="66"/>
      <c r="U25" s="74"/>
      <c r="V25" s="46"/>
      <c r="W25" s="47"/>
      <c r="X25" s="47"/>
      <c r="Y25" s="47"/>
      <c r="Z25" s="47"/>
      <c r="AA25" s="47"/>
      <c r="AB25" s="47"/>
      <c r="AC25" s="47"/>
      <c r="AD25" s="47"/>
      <c r="AE25" s="47"/>
      <c r="AF25" s="47"/>
      <c r="AG25" s="47"/>
    </row>
    <row r="26" spans="1:33" x14ac:dyDescent="0.2">
      <c r="A26" s="47"/>
      <c r="B26" s="73" t="s">
        <v>163</v>
      </c>
      <c r="C26" s="64">
        <f t="shared" ref="C26" si="140">E26-D26</f>
        <v>0</v>
      </c>
      <c r="D26" s="65">
        <v>5</v>
      </c>
      <c r="E26" s="65">
        <v>5</v>
      </c>
      <c r="F26" s="65">
        <v>0.9</v>
      </c>
      <c r="G26" s="65">
        <v>1.8</v>
      </c>
      <c r="H26" s="66">
        <f t="shared" ref="H26" si="141">F26*G26</f>
        <v>1.62</v>
      </c>
      <c r="I26" s="66">
        <f t="shared" ref="I26" si="142">H26*C26</f>
        <v>0</v>
      </c>
      <c r="J26" s="67">
        <f t="shared" ref="J26" si="143">H26*D26</f>
        <v>8.1000000000000014</v>
      </c>
      <c r="K26" s="66"/>
      <c r="L26" s="66"/>
      <c r="M26" s="71"/>
      <c r="N26" s="71"/>
      <c r="O26" s="66"/>
      <c r="P26" s="66"/>
      <c r="Q26" s="66"/>
      <c r="R26" s="66">
        <f t="shared" ref="R26" si="144">Q26</f>
        <v>0</v>
      </c>
      <c r="S26" s="71"/>
      <c r="T26" s="66"/>
      <c r="U26" s="74"/>
      <c r="V26" s="46"/>
      <c r="W26" s="47"/>
      <c r="X26" s="47"/>
      <c r="Y26" s="47"/>
      <c r="Z26" s="47"/>
      <c r="AA26" s="47"/>
      <c r="AB26" s="47"/>
      <c r="AC26" s="47"/>
      <c r="AD26" s="47"/>
      <c r="AE26" s="47"/>
      <c r="AF26" s="47"/>
      <c r="AG26" s="47"/>
    </row>
    <row r="27" spans="1:33" ht="12" thickBot="1" x14ac:dyDescent="0.25">
      <c r="B27" s="104"/>
      <c r="C27" s="105"/>
      <c r="D27" s="106">
        <f>D4+D6+D8+D10+D12+D13+D14+D15+D16+D17+D18+D19+D20+D21+D22+D23+D24+D25+D26</f>
        <v>108</v>
      </c>
      <c r="E27" s="106">
        <f t="shared" ref="E27:T27" si="145">SUM(E4:E26)</f>
        <v>476</v>
      </c>
      <c r="F27" s="106"/>
      <c r="G27" s="106"/>
      <c r="H27" s="106">
        <f t="shared" si="145"/>
        <v>52.961499999999987</v>
      </c>
      <c r="I27" s="106">
        <f t="shared" si="145"/>
        <v>558.83349999999996</v>
      </c>
      <c r="J27" s="106">
        <f t="shared" si="145"/>
        <v>282.36750000000001</v>
      </c>
      <c r="K27" s="106">
        <f>SUM(K4:K26)</f>
        <v>2229.9600000000005</v>
      </c>
      <c r="L27" s="106">
        <f>SUM(L4:L26)</f>
        <v>700.3</v>
      </c>
      <c r="M27" s="106">
        <f t="shared" si="145"/>
        <v>557.49000000000012</v>
      </c>
      <c r="N27" s="106">
        <f>SUM(N4:N26)</f>
        <v>192.39</v>
      </c>
      <c r="O27" s="106">
        <f>SUM(O4:O26)</f>
        <v>106.85</v>
      </c>
      <c r="P27" s="106">
        <f t="shared" si="145"/>
        <v>433.839</v>
      </c>
      <c r="Q27" s="106">
        <f t="shared" si="145"/>
        <v>1401.35</v>
      </c>
      <c r="R27" s="106">
        <f t="shared" si="145"/>
        <v>1676.2299999999998</v>
      </c>
      <c r="S27" s="106">
        <f t="shared" si="145"/>
        <v>542.93000000000006</v>
      </c>
      <c r="T27" s="106">
        <f t="shared" si="145"/>
        <v>413.18000000000006</v>
      </c>
      <c r="U27" s="107"/>
      <c r="V27" s="47"/>
      <c r="W27" s="47"/>
      <c r="X27" s="47"/>
      <c r="Y27" s="47"/>
      <c r="Z27" s="47"/>
      <c r="AA27" s="47"/>
      <c r="AB27" s="47"/>
      <c r="AC27" s="47"/>
      <c r="AD27" s="47"/>
      <c r="AE27" s="47"/>
      <c r="AF27" s="47"/>
      <c r="AG27" s="47"/>
    </row>
    <row r="28" spans="1:33" x14ac:dyDescent="0.2">
      <c r="A28" s="50"/>
      <c r="B28" s="51"/>
      <c r="E28" s="52"/>
      <c r="V28" s="47"/>
      <c r="W28" s="47"/>
      <c r="X28" s="47"/>
      <c r="Y28" s="47"/>
      <c r="Z28" s="47"/>
      <c r="AA28" s="47"/>
      <c r="AB28" s="47"/>
      <c r="AC28" s="47"/>
      <c r="AD28" s="47"/>
      <c r="AE28" s="47"/>
      <c r="AF28" s="47"/>
      <c r="AG28" s="47"/>
    </row>
  </sheetData>
  <mergeCells count="13">
    <mergeCell ref="S2:S3"/>
    <mergeCell ref="T2:T3"/>
    <mergeCell ref="U2:U3"/>
    <mergeCell ref="K1:L1"/>
    <mergeCell ref="M1:N1"/>
    <mergeCell ref="O1:P1"/>
    <mergeCell ref="Q1:U1"/>
    <mergeCell ref="R2:R3"/>
    <mergeCell ref="B2:B3"/>
    <mergeCell ref="C2:E2"/>
    <mergeCell ref="F2:G2"/>
    <mergeCell ref="H2:J2"/>
    <mergeCell ref="Q2:Q3"/>
  </mergeCells>
  <phoneticPr fontId="25" type="noConversion"/>
  <pageMargins left="0.7" right="0.7" top="0.75" bottom="0.75" header="0.3" footer="0.3"/>
  <pageSetup paperSize="9" scale="37" orientation="portrait" r:id="rId1"/>
  <colBreaks count="1" manualBreakCount="1">
    <brk id="21" max="1048575" man="1"/>
  </col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FF5757"/>
    <pageSetUpPr fitToPage="1"/>
  </sheetPr>
  <dimension ref="A1:Q40"/>
  <sheetViews>
    <sheetView view="pageBreakPreview" zoomScale="130" zoomScaleNormal="100" zoomScaleSheetLayoutView="130" workbookViewId="0">
      <selection activeCell="A10" sqref="A10"/>
    </sheetView>
  </sheetViews>
  <sheetFormatPr defaultColWidth="9.140625" defaultRowHeight="11.25" x14ac:dyDescent="0.2"/>
  <cols>
    <col min="1" max="1" width="4.5703125" style="174" customWidth="1"/>
    <col min="2" max="2" width="5.28515625" style="174" customWidth="1"/>
    <col min="3" max="3" width="38.42578125" style="174" customWidth="1"/>
    <col min="4" max="4" width="5.85546875" style="174" customWidth="1"/>
    <col min="5" max="5" width="8.7109375" style="174" customWidth="1"/>
    <col min="6" max="6" width="9.5703125" style="174" customWidth="1"/>
    <col min="7" max="7" width="4.85546875" style="174" customWidth="1"/>
    <col min="8" max="10" width="6.7109375" style="174" customWidth="1"/>
    <col min="11" max="11" width="7" style="174" customWidth="1"/>
    <col min="12" max="15" width="7.7109375" style="174" customWidth="1"/>
    <col min="16" max="16" width="9" style="174" customWidth="1"/>
    <col min="17" max="16384" width="9.140625" style="174"/>
  </cols>
  <sheetData>
    <row r="1" spans="1:16" x14ac:dyDescent="0.2">
      <c r="A1" s="167"/>
      <c r="B1" s="167"/>
      <c r="C1" s="194" t="s">
        <v>38</v>
      </c>
      <c r="D1" s="195">
        <f>'Kops a'!A17</f>
        <v>3</v>
      </c>
      <c r="E1" s="167"/>
      <c r="F1" s="167"/>
      <c r="G1" s="167"/>
      <c r="H1" s="167"/>
      <c r="I1" s="167"/>
      <c r="J1" s="167"/>
      <c r="N1" s="196"/>
      <c r="O1" s="194"/>
      <c r="P1" s="197"/>
    </row>
    <row r="2" spans="1:16" x14ac:dyDescent="0.2">
      <c r="A2" s="198"/>
      <c r="B2" s="198"/>
      <c r="C2" s="338" t="s">
        <v>62</v>
      </c>
      <c r="D2" s="338"/>
      <c r="E2" s="338"/>
      <c r="F2" s="338"/>
      <c r="G2" s="338"/>
      <c r="H2" s="338"/>
      <c r="I2" s="338"/>
      <c r="J2" s="198"/>
    </row>
    <row r="3" spans="1:16" x14ac:dyDescent="0.2">
      <c r="A3" s="199"/>
      <c r="B3" s="199"/>
      <c r="C3" s="339" t="s">
        <v>17</v>
      </c>
      <c r="D3" s="339"/>
      <c r="E3" s="339"/>
      <c r="F3" s="339"/>
      <c r="G3" s="339"/>
      <c r="H3" s="339"/>
      <c r="I3" s="339"/>
      <c r="J3" s="199"/>
    </row>
    <row r="4" spans="1:16" x14ac:dyDescent="0.2">
      <c r="A4" s="199"/>
      <c r="B4" s="199"/>
      <c r="C4" s="340" t="s">
        <v>52</v>
      </c>
      <c r="D4" s="340"/>
      <c r="E4" s="340"/>
      <c r="F4" s="340"/>
      <c r="G4" s="340"/>
      <c r="H4" s="340"/>
      <c r="I4" s="340"/>
      <c r="J4" s="199"/>
    </row>
    <row r="5" spans="1:16" x14ac:dyDescent="0.2">
      <c r="A5" s="167"/>
      <c r="B5" s="167"/>
      <c r="C5" s="194" t="s">
        <v>5</v>
      </c>
      <c r="D5" s="354" t="str">
        <f>'Kops a'!D6</f>
        <v>Dzīvojamās ēkas vienkāršotā atjaunošana</v>
      </c>
      <c r="E5" s="354"/>
      <c r="F5" s="354"/>
      <c r="G5" s="354"/>
      <c r="H5" s="354"/>
      <c r="I5" s="354"/>
      <c r="J5" s="354"/>
      <c r="K5" s="354"/>
      <c r="L5" s="354"/>
      <c r="M5" s="173"/>
      <c r="N5" s="173"/>
      <c r="O5" s="173"/>
      <c r="P5" s="173"/>
    </row>
    <row r="6" spans="1:16" x14ac:dyDescent="0.2">
      <c r="A6" s="167"/>
      <c r="B6" s="167"/>
      <c r="C6" s="194" t="s">
        <v>6</v>
      </c>
      <c r="D6" s="354" t="str">
        <f>'Kops a'!D7</f>
        <v>Daudzdzīvokļu dzīvojamās ēkas energoefektivitātes paaugstināšanas pasākumi</v>
      </c>
      <c r="E6" s="354"/>
      <c r="F6" s="354"/>
      <c r="G6" s="354"/>
      <c r="H6" s="354"/>
      <c r="I6" s="354"/>
      <c r="J6" s="354"/>
      <c r="K6" s="354"/>
      <c r="L6" s="354"/>
      <c r="M6" s="173"/>
      <c r="N6" s="173"/>
      <c r="O6" s="173"/>
      <c r="P6" s="173"/>
    </row>
    <row r="7" spans="1:16" x14ac:dyDescent="0.2">
      <c r="A7" s="167"/>
      <c r="B7" s="167"/>
      <c r="C7" s="194" t="s">
        <v>7</v>
      </c>
      <c r="D7" s="354" t="str">
        <f>'Kops a'!D8</f>
        <v>Dzērves iela 23, Liepāja</v>
      </c>
      <c r="E7" s="354"/>
      <c r="F7" s="354"/>
      <c r="G7" s="354"/>
      <c r="H7" s="354"/>
      <c r="I7" s="354"/>
      <c r="J7" s="354"/>
      <c r="K7" s="354"/>
      <c r="L7" s="354"/>
      <c r="M7" s="173"/>
      <c r="N7" s="173"/>
      <c r="O7" s="173"/>
      <c r="P7" s="173"/>
    </row>
    <row r="8" spans="1:16" x14ac:dyDescent="0.2">
      <c r="A8" s="167"/>
      <c r="B8" s="167"/>
      <c r="C8" s="200" t="s">
        <v>20</v>
      </c>
      <c r="D8" s="354" t="str">
        <f>'Kops a'!D9</f>
        <v>EA-14-17/WOOS</v>
      </c>
      <c r="E8" s="354"/>
      <c r="F8" s="354"/>
      <c r="G8" s="354"/>
      <c r="H8" s="354"/>
      <c r="I8" s="354"/>
      <c r="J8" s="354"/>
      <c r="K8" s="354"/>
      <c r="L8" s="354"/>
      <c r="M8" s="173"/>
      <c r="N8" s="173"/>
      <c r="O8" s="173"/>
      <c r="P8" s="173"/>
    </row>
    <row r="9" spans="1:16" x14ac:dyDescent="0.2">
      <c r="A9" s="341" t="s">
        <v>556</v>
      </c>
      <c r="B9" s="341"/>
      <c r="C9" s="341"/>
      <c r="D9" s="341"/>
      <c r="E9" s="341"/>
      <c r="F9" s="341"/>
      <c r="G9" s="175"/>
      <c r="H9" s="175"/>
      <c r="I9" s="175"/>
      <c r="J9" s="345" t="s">
        <v>39</v>
      </c>
      <c r="K9" s="345"/>
      <c r="L9" s="345"/>
      <c r="M9" s="345"/>
      <c r="N9" s="353">
        <f>P25</f>
        <v>0</v>
      </c>
      <c r="O9" s="353"/>
      <c r="P9" s="175"/>
    </row>
    <row r="10" spans="1:16" x14ac:dyDescent="0.2">
      <c r="A10" s="201"/>
      <c r="B10" s="202"/>
      <c r="C10" s="200"/>
      <c r="D10" s="167"/>
      <c r="E10" s="167"/>
      <c r="F10" s="167"/>
      <c r="G10" s="167"/>
      <c r="H10" s="167"/>
      <c r="I10" s="167"/>
      <c r="J10" s="167"/>
      <c r="K10" s="167"/>
      <c r="L10" s="198"/>
      <c r="M10" s="198"/>
      <c r="O10" s="237"/>
      <c r="P10" s="204" t="str">
        <f>A31</f>
        <v>Tāme sastādīta 2021. gada</v>
      </c>
    </row>
    <row r="11" spans="1:16" ht="12" thickBot="1" x14ac:dyDescent="0.25">
      <c r="A11" s="201"/>
      <c r="B11" s="202"/>
      <c r="C11" s="200"/>
      <c r="D11" s="167"/>
      <c r="E11" s="167"/>
      <c r="F11" s="167"/>
      <c r="G11" s="167"/>
      <c r="H11" s="167"/>
      <c r="I11" s="167"/>
      <c r="J11" s="167"/>
      <c r="K11" s="167"/>
      <c r="L11" s="205"/>
      <c r="M11" s="205"/>
      <c r="N11" s="206"/>
      <c r="O11" s="196"/>
      <c r="P11" s="167"/>
    </row>
    <row r="12" spans="1:16" x14ac:dyDescent="0.2">
      <c r="A12" s="346" t="s">
        <v>23</v>
      </c>
      <c r="B12" s="348" t="s">
        <v>40</v>
      </c>
      <c r="C12" s="343" t="s">
        <v>41</v>
      </c>
      <c r="D12" s="351" t="s">
        <v>42</v>
      </c>
      <c r="E12" s="355" t="s">
        <v>43</v>
      </c>
      <c r="F12" s="342" t="s">
        <v>44</v>
      </c>
      <c r="G12" s="343"/>
      <c r="H12" s="343"/>
      <c r="I12" s="343"/>
      <c r="J12" s="343"/>
      <c r="K12" s="344"/>
      <c r="L12" s="342" t="s">
        <v>45</v>
      </c>
      <c r="M12" s="343"/>
      <c r="N12" s="343"/>
      <c r="O12" s="343"/>
      <c r="P12" s="344"/>
    </row>
    <row r="13" spans="1:16" ht="118.5" thickBot="1" x14ac:dyDescent="0.25">
      <c r="A13" s="347"/>
      <c r="B13" s="349"/>
      <c r="C13" s="350"/>
      <c r="D13" s="352"/>
      <c r="E13" s="356"/>
      <c r="F13" s="207" t="s">
        <v>46</v>
      </c>
      <c r="G13" s="208" t="s">
        <v>47</v>
      </c>
      <c r="H13" s="208" t="s">
        <v>48</v>
      </c>
      <c r="I13" s="208" t="s">
        <v>49</v>
      </c>
      <c r="J13" s="208" t="s">
        <v>50</v>
      </c>
      <c r="K13" s="209" t="s">
        <v>51</v>
      </c>
      <c r="L13" s="207" t="s">
        <v>46</v>
      </c>
      <c r="M13" s="208" t="s">
        <v>48</v>
      </c>
      <c r="N13" s="208" t="s">
        <v>49</v>
      </c>
      <c r="O13" s="208" t="s">
        <v>50</v>
      </c>
      <c r="P13" s="209" t="s">
        <v>51</v>
      </c>
    </row>
    <row r="14" spans="1:16" x14ac:dyDescent="0.2">
      <c r="A14" s="59">
        <f>IF(COUNTBLANK(B14)=1," ",COUNTA(B$14:B14))</f>
        <v>1</v>
      </c>
      <c r="B14" s="60" t="s">
        <v>93</v>
      </c>
      <c r="C14" s="61" t="s">
        <v>534</v>
      </c>
      <c r="D14" s="114" t="s">
        <v>120</v>
      </c>
      <c r="E14" s="128">
        <v>10</v>
      </c>
      <c r="F14" s="75"/>
      <c r="G14" s="75"/>
      <c r="H14" s="75"/>
      <c r="I14" s="75"/>
      <c r="J14" s="75"/>
      <c r="K14" s="75"/>
      <c r="L14" s="75"/>
      <c r="M14" s="75"/>
      <c r="N14" s="75"/>
      <c r="O14" s="75"/>
      <c r="P14" s="75"/>
    </row>
    <row r="15" spans="1:16" ht="22.5" x14ac:dyDescent="0.2">
      <c r="A15" s="59">
        <f>IF(COUNTBLANK(B15)=1," ",COUNTA(B$14:B15))</f>
        <v>2</v>
      </c>
      <c r="B15" s="60" t="s">
        <v>93</v>
      </c>
      <c r="C15" s="62" t="s">
        <v>281</v>
      </c>
      <c r="D15" s="129" t="s">
        <v>120</v>
      </c>
      <c r="E15" s="129">
        <f>ROUNDUP(72*0.02*0.15,0)</f>
        <v>1</v>
      </c>
      <c r="F15" s="75"/>
      <c r="G15" s="75"/>
      <c r="H15" s="75"/>
      <c r="I15" s="75"/>
      <c r="J15" s="75"/>
      <c r="K15" s="75"/>
      <c r="L15" s="75"/>
      <c r="M15" s="75"/>
      <c r="N15" s="75"/>
      <c r="O15" s="75"/>
      <c r="P15" s="75"/>
    </row>
    <row r="16" spans="1:16" ht="22.5" x14ac:dyDescent="0.2">
      <c r="A16" s="59">
        <f>IF(COUNTBLANK(B16)=1," ",COUNTA(B$14:B16))</f>
        <v>3</v>
      </c>
      <c r="B16" s="60" t="s">
        <v>93</v>
      </c>
      <c r="C16" s="62" t="s">
        <v>137</v>
      </c>
      <c r="D16" s="59" t="s">
        <v>110</v>
      </c>
      <c r="E16" s="129">
        <f>ROUNDUP(72/0.5,0)</f>
        <v>144</v>
      </c>
      <c r="F16" s="75"/>
      <c r="G16" s="75"/>
      <c r="H16" s="75"/>
      <c r="I16" s="75"/>
      <c r="J16" s="75"/>
      <c r="K16" s="75"/>
      <c r="L16" s="75"/>
      <c r="M16" s="75"/>
      <c r="N16" s="75"/>
      <c r="O16" s="75"/>
      <c r="P16" s="75"/>
    </row>
    <row r="17" spans="1:17" ht="22.5" x14ac:dyDescent="0.2">
      <c r="A17" s="59">
        <f>IF(COUNTBLANK(B17)=1," ",COUNTA(B$14:B17))</f>
        <v>4</v>
      </c>
      <c r="B17" s="60" t="s">
        <v>93</v>
      </c>
      <c r="C17" s="165" t="s">
        <v>280</v>
      </c>
      <c r="D17" s="117" t="s">
        <v>120</v>
      </c>
      <c r="E17" s="166">
        <f>80*2*0.02</f>
        <v>3.2</v>
      </c>
      <c r="F17" s="77"/>
      <c r="G17" s="77"/>
      <c r="H17" s="77"/>
      <c r="I17" s="77"/>
      <c r="J17" s="77"/>
      <c r="K17" s="77"/>
      <c r="L17" s="77"/>
      <c r="M17" s="77"/>
      <c r="N17" s="77"/>
      <c r="O17" s="77"/>
      <c r="P17" s="77"/>
    </row>
    <row r="18" spans="1:17" ht="22.5" x14ac:dyDescent="0.2">
      <c r="A18" s="59">
        <f>IF(COUNTBLANK(B18)=1," ",COUNTA(B$14:B18))</f>
        <v>5</v>
      </c>
      <c r="B18" s="60" t="s">
        <v>93</v>
      </c>
      <c r="C18" s="61" t="s">
        <v>138</v>
      </c>
      <c r="D18" s="59" t="s">
        <v>100</v>
      </c>
      <c r="E18" s="129">
        <f>909.8</f>
        <v>909.8</v>
      </c>
      <c r="F18" s="75"/>
      <c r="G18" s="75"/>
      <c r="H18" s="75"/>
      <c r="I18" s="75"/>
      <c r="J18" s="75"/>
      <c r="K18" s="75"/>
      <c r="L18" s="75"/>
      <c r="M18" s="75"/>
      <c r="N18" s="75"/>
      <c r="O18" s="75"/>
      <c r="P18" s="75"/>
      <c r="Q18" s="236"/>
    </row>
    <row r="19" spans="1:17" x14ac:dyDescent="0.2">
      <c r="A19" s="59" t="str">
        <f>IF(COUNTBLANK(B19)=1," ",COUNTA(B$14:B19))</f>
        <v xml:space="preserve"> </v>
      </c>
      <c r="B19" s="59"/>
      <c r="C19" s="62" t="s">
        <v>453</v>
      </c>
      <c r="D19" s="59" t="s">
        <v>107</v>
      </c>
      <c r="E19" s="75">
        <f>E18*0.3</f>
        <v>272.94</v>
      </c>
      <c r="F19" s="75"/>
      <c r="G19" s="75"/>
      <c r="H19" s="75"/>
      <c r="I19" s="75"/>
      <c r="J19" s="75"/>
      <c r="K19" s="75"/>
      <c r="L19" s="75"/>
      <c r="M19" s="75"/>
      <c r="N19" s="75"/>
      <c r="O19" s="75"/>
      <c r="P19" s="75"/>
    </row>
    <row r="20" spans="1:17" ht="33.75" x14ac:dyDescent="0.2">
      <c r="A20" s="59">
        <f>IF(COUNTBLANK(B20)=1," ",COUNTA(B$14:B20))</f>
        <v>6</v>
      </c>
      <c r="B20" s="60" t="s">
        <v>536</v>
      </c>
      <c r="C20" s="61" t="s">
        <v>554</v>
      </c>
      <c r="D20" s="59" t="s">
        <v>100</v>
      </c>
      <c r="E20" s="75">
        <f>E18</f>
        <v>909.8</v>
      </c>
      <c r="F20" s="75"/>
      <c r="G20" s="75"/>
      <c r="H20" s="75"/>
      <c r="I20" s="75"/>
      <c r="J20" s="75"/>
      <c r="K20" s="75"/>
      <c r="L20" s="75"/>
      <c r="M20" s="75"/>
      <c r="N20" s="75"/>
      <c r="O20" s="75"/>
      <c r="P20" s="75"/>
      <c r="Q20" s="236"/>
    </row>
    <row r="21" spans="1:17" x14ac:dyDescent="0.2">
      <c r="A21" s="59" t="str">
        <f>IF(COUNTBLANK(B21)=1," ",COUNTA(B$14:B21))</f>
        <v xml:space="preserve"> </v>
      </c>
      <c r="B21" s="59"/>
      <c r="C21" s="61" t="s">
        <v>139</v>
      </c>
      <c r="D21" s="59" t="s">
        <v>100</v>
      </c>
      <c r="E21" s="75">
        <f>E20*1.1</f>
        <v>1000.7800000000001</v>
      </c>
      <c r="F21" s="75"/>
      <c r="G21" s="75"/>
      <c r="H21" s="75"/>
      <c r="I21" s="75"/>
      <c r="J21" s="75"/>
      <c r="K21" s="75"/>
      <c r="L21" s="75"/>
      <c r="M21" s="75"/>
      <c r="N21" s="75"/>
      <c r="O21" s="75"/>
      <c r="P21" s="75"/>
    </row>
    <row r="22" spans="1:17" x14ac:dyDescent="0.2">
      <c r="A22" s="59" t="str">
        <f>IF(COUNTBLANK(B22)=1," ",COUNTA(B$14:B22))</f>
        <v xml:space="preserve"> </v>
      </c>
      <c r="B22" s="59"/>
      <c r="C22" s="61" t="s">
        <v>472</v>
      </c>
      <c r="D22" s="59" t="s">
        <v>107</v>
      </c>
      <c r="E22" s="75">
        <f>E21*5</f>
        <v>5003.9000000000005</v>
      </c>
      <c r="F22" s="75"/>
      <c r="G22" s="75"/>
      <c r="H22" s="75"/>
      <c r="I22" s="75"/>
      <c r="J22" s="75"/>
      <c r="K22" s="75"/>
      <c r="L22" s="75"/>
      <c r="M22" s="75"/>
      <c r="N22" s="75"/>
      <c r="O22" s="75"/>
      <c r="P22" s="75"/>
    </row>
    <row r="23" spans="1:17" x14ac:dyDescent="0.2">
      <c r="A23" s="59">
        <f>IF(COUNTBLANK(B23)=1," ",COUNTA(B$14:B23))</f>
        <v>7</v>
      </c>
      <c r="B23" s="60" t="s">
        <v>93</v>
      </c>
      <c r="C23" s="61" t="s">
        <v>119</v>
      </c>
      <c r="D23" s="114" t="s">
        <v>120</v>
      </c>
      <c r="E23" s="75">
        <v>5</v>
      </c>
      <c r="F23" s="75"/>
      <c r="G23" s="75"/>
      <c r="H23" s="225"/>
      <c r="I23" s="59"/>
      <c r="J23" s="75"/>
      <c r="K23" s="75"/>
      <c r="L23" s="75"/>
      <c r="M23" s="75"/>
      <c r="N23" s="75"/>
      <c r="O23" s="75"/>
      <c r="P23" s="75"/>
    </row>
    <row r="24" spans="1:17" ht="12" thickBot="1" x14ac:dyDescent="0.25">
      <c r="A24" s="59" t="str">
        <f>IF(COUNTBLANK(B24)=1," ",COUNTA(B$14:B24))</f>
        <v xml:space="preserve"> </v>
      </c>
      <c r="B24" s="60"/>
      <c r="C24" s="61" t="s">
        <v>121</v>
      </c>
      <c r="D24" s="59" t="s">
        <v>97</v>
      </c>
      <c r="E24" s="75">
        <f>ROUNDUP(E23/14,0)</f>
        <v>1</v>
      </c>
      <c r="F24" s="75"/>
      <c r="G24" s="75"/>
      <c r="H24" s="225"/>
      <c r="I24" s="59"/>
      <c r="J24" s="75"/>
      <c r="K24" s="75"/>
      <c r="L24" s="75"/>
      <c r="M24" s="75"/>
      <c r="N24" s="75"/>
      <c r="O24" s="75"/>
      <c r="P24" s="75"/>
    </row>
    <row r="25" spans="1:17" ht="12" thickBot="1" x14ac:dyDescent="0.25">
      <c r="A25" s="370" t="s">
        <v>545</v>
      </c>
      <c r="B25" s="371"/>
      <c r="C25" s="371"/>
      <c r="D25" s="371"/>
      <c r="E25" s="371"/>
      <c r="F25" s="371"/>
      <c r="G25" s="371"/>
      <c r="H25" s="371"/>
      <c r="I25" s="371"/>
      <c r="J25" s="371"/>
      <c r="K25" s="372"/>
      <c r="L25" s="240">
        <f>SUM(L14:L24)</f>
        <v>0</v>
      </c>
      <c r="M25" s="241">
        <f>SUM(M14:M24)</f>
        <v>0</v>
      </c>
      <c r="N25" s="241">
        <f>SUM(N14:N24)</f>
        <v>0</v>
      </c>
      <c r="O25" s="241">
        <f>SUM(O14:O24)</f>
        <v>0</v>
      </c>
      <c r="P25" s="242">
        <f>SUM(P14:P24)</f>
        <v>0</v>
      </c>
    </row>
    <row r="26" spans="1:17" x14ac:dyDescent="0.2">
      <c r="A26" s="173"/>
      <c r="B26" s="173"/>
      <c r="C26" s="173"/>
      <c r="D26" s="173"/>
      <c r="E26" s="173"/>
      <c r="F26" s="173"/>
      <c r="G26" s="173"/>
      <c r="H26" s="173"/>
      <c r="I26" s="173"/>
      <c r="J26" s="173"/>
      <c r="K26" s="173"/>
      <c r="L26" s="173"/>
      <c r="M26" s="173"/>
      <c r="N26" s="173"/>
      <c r="O26" s="173"/>
      <c r="P26" s="173"/>
    </row>
    <row r="27" spans="1:17" x14ac:dyDescent="0.2">
      <c r="A27" s="173"/>
      <c r="B27" s="173"/>
      <c r="C27" s="173"/>
      <c r="D27" s="173"/>
      <c r="E27" s="173"/>
      <c r="F27" s="173"/>
      <c r="G27" s="173"/>
      <c r="H27" s="173"/>
      <c r="I27" s="173"/>
      <c r="J27" s="173"/>
      <c r="K27" s="173"/>
      <c r="L27" s="173"/>
      <c r="M27" s="173"/>
      <c r="N27" s="173"/>
      <c r="O27" s="173"/>
      <c r="P27" s="173"/>
    </row>
    <row r="28" spans="1:17" x14ac:dyDescent="0.2">
      <c r="A28" s="174" t="s">
        <v>14</v>
      </c>
      <c r="B28" s="173"/>
      <c r="C28" s="358">
        <f>'Kops a'!C34:H34</f>
        <v>0</v>
      </c>
      <c r="D28" s="358"/>
      <c r="E28" s="358"/>
      <c r="F28" s="358"/>
      <c r="G28" s="358"/>
      <c r="H28" s="358"/>
      <c r="I28" s="173"/>
      <c r="J28" s="173"/>
      <c r="K28" s="173"/>
      <c r="L28" s="173"/>
      <c r="M28" s="173"/>
      <c r="N28" s="173"/>
      <c r="O28" s="173"/>
      <c r="P28" s="173"/>
    </row>
    <row r="29" spans="1:17" x14ac:dyDescent="0.2">
      <c r="A29" s="173"/>
      <c r="B29" s="173"/>
      <c r="C29" s="359" t="s">
        <v>15</v>
      </c>
      <c r="D29" s="359"/>
      <c r="E29" s="359"/>
      <c r="F29" s="359"/>
      <c r="G29" s="359"/>
      <c r="H29" s="359"/>
      <c r="I29" s="173"/>
      <c r="J29" s="173"/>
      <c r="K29" s="173"/>
      <c r="L29" s="173"/>
      <c r="M29" s="173"/>
      <c r="N29" s="173"/>
      <c r="O29" s="173"/>
      <c r="P29" s="173"/>
    </row>
    <row r="30" spans="1:17" x14ac:dyDescent="0.2">
      <c r="A30" s="173"/>
      <c r="B30" s="173"/>
      <c r="C30" s="173"/>
      <c r="D30" s="173"/>
      <c r="E30" s="173"/>
      <c r="F30" s="173"/>
      <c r="G30" s="173"/>
      <c r="H30" s="173"/>
      <c r="I30" s="173"/>
      <c r="J30" s="173"/>
      <c r="K30" s="173"/>
      <c r="L30" s="173"/>
      <c r="M30" s="173"/>
      <c r="N30" s="173"/>
      <c r="O30" s="173"/>
      <c r="P30" s="173"/>
    </row>
    <row r="31" spans="1:17" x14ac:dyDescent="0.2">
      <c r="A31" s="227" t="str">
        <f>'Kops a'!A37</f>
        <v>Tāme sastādīta 2021. gada</v>
      </c>
      <c r="B31" s="228"/>
      <c r="C31" s="228"/>
      <c r="D31" s="228"/>
      <c r="E31" s="173"/>
      <c r="F31" s="173"/>
      <c r="G31" s="173"/>
      <c r="H31" s="173"/>
      <c r="I31" s="173"/>
      <c r="J31" s="173"/>
      <c r="K31" s="173"/>
      <c r="L31" s="173"/>
      <c r="M31" s="173"/>
      <c r="N31" s="173"/>
      <c r="O31" s="173"/>
      <c r="P31" s="173"/>
    </row>
    <row r="32" spans="1:17" x14ac:dyDescent="0.2">
      <c r="A32" s="173"/>
      <c r="B32" s="173"/>
      <c r="C32" s="173"/>
      <c r="D32" s="173"/>
      <c r="E32" s="173"/>
      <c r="F32" s="173"/>
      <c r="G32" s="173"/>
      <c r="H32" s="173"/>
      <c r="I32" s="173"/>
      <c r="J32" s="173"/>
      <c r="K32" s="173"/>
      <c r="L32" s="173"/>
      <c r="M32" s="173"/>
      <c r="N32" s="173"/>
      <c r="O32" s="173"/>
      <c r="P32" s="173"/>
    </row>
    <row r="33" spans="1:16" x14ac:dyDescent="0.2">
      <c r="A33" s="174" t="s">
        <v>37</v>
      </c>
      <c r="B33" s="173"/>
      <c r="C33" s="358">
        <f>'Kops a'!C39:H39</f>
        <v>0</v>
      </c>
      <c r="D33" s="358"/>
      <c r="E33" s="358"/>
      <c r="F33" s="358"/>
      <c r="G33" s="358"/>
      <c r="H33" s="358"/>
      <c r="I33" s="173"/>
      <c r="J33" s="173"/>
      <c r="K33" s="173"/>
      <c r="L33" s="173"/>
      <c r="M33" s="173"/>
      <c r="N33" s="173"/>
      <c r="O33" s="173"/>
      <c r="P33" s="173"/>
    </row>
    <row r="34" spans="1:16" x14ac:dyDescent="0.2">
      <c r="A34" s="173"/>
      <c r="B34" s="173"/>
      <c r="C34" s="359" t="s">
        <v>15</v>
      </c>
      <c r="D34" s="359"/>
      <c r="E34" s="359"/>
      <c r="F34" s="359"/>
      <c r="G34" s="359"/>
      <c r="H34" s="359"/>
      <c r="I34" s="173"/>
      <c r="J34" s="173"/>
      <c r="K34" s="173"/>
      <c r="L34" s="173"/>
      <c r="M34" s="173"/>
      <c r="N34" s="173"/>
      <c r="O34" s="173"/>
      <c r="P34" s="173"/>
    </row>
    <row r="35" spans="1:16" x14ac:dyDescent="0.2">
      <c r="A35" s="173"/>
      <c r="B35" s="173"/>
      <c r="C35" s="173"/>
      <c r="D35" s="173"/>
      <c r="E35" s="173"/>
      <c r="F35" s="173"/>
      <c r="G35" s="173"/>
      <c r="H35" s="173"/>
      <c r="I35" s="173"/>
      <c r="J35" s="173"/>
      <c r="K35" s="173"/>
      <c r="L35" s="173"/>
      <c r="M35" s="173"/>
      <c r="N35" s="173"/>
      <c r="O35" s="173"/>
      <c r="P35" s="173"/>
    </row>
    <row r="36" spans="1:16" x14ac:dyDescent="0.2">
      <c r="A36" s="227" t="s">
        <v>54</v>
      </c>
      <c r="B36" s="228"/>
      <c r="C36" s="229">
        <f>'Kops a'!C42</f>
        <v>0</v>
      </c>
      <c r="D36" s="230"/>
      <c r="E36" s="173"/>
      <c r="F36" s="173"/>
      <c r="G36" s="173"/>
      <c r="H36" s="173"/>
      <c r="I36" s="173"/>
      <c r="J36" s="173"/>
      <c r="K36" s="173"/>
      <c r="L36" s="173"/>
      <c r="M36" s="173"/>
      <c r="N36" s="173"/>
      <c r="O36" s="173"/>
      <c r="P36" s="173"/>
    </row>
    <row r="37" spans="1:16" x14ac:dyDescent="0.2">
      <c r="A37" s="173"/>
      <c r="B37" s="173"/>
      <c r="C37" s="173"/>
      <c r="D37" s="173"/>
      <c r="E37" s="173"/>
      <c r="F37" s="173"/>
      <c r="G37" s="173"/>
      <c r="H37" s="173"/>
      <c r="I37" s="173"/>
      <c r="J37" s="173"/>
      <c r="K37" s="173"/>
      <c r="L37" s="173"/>
      <c r="M37" s="173"/>
      <c r="N37" s="173"/>
      <c r="O37" s="173"/>
      <c r="P37" s="173"/>
    </row>
    <row r="38" spans="1:16" x14ac:dyDescent="0.2">
      <c r="A38" s="231" t="s">
        <v>63</v>
      </c>
      <c r="B38" s="173"/>
      <c r="E38" s="167"/>
      <c r="F38" s="232"/>
      <c r="G38" s="167"/>
      <c r="H38" s="233"/>
      <c r="I38" s="233"/>
      <c r="J38" s="234"/>
      <c r="K38" s="235"/>
      <c r="L38" s="235"/>
      <c r="M38" s="235"/>
      <c r="N38" s="235"/>
      <c r="O38" s="235"/>
    </row>
    <row r="39" spans="1:16" x14ac:dyDescent="0.2">
      <c r="A39" s="357" t="s">
        <v>64</v>
      </c>
      <c r="B39" s="357"/>
      <c r="C39" s="357"/>
      <c r="D39" s="357"/>
      <c r="E39" s="357"/>
      <c r="F39" s="357"/>
      <c r="G39" s="357"/>
      <c r="H39" s="357"/>
      <c r="I39" s="357"/>
      <c r="J39" s="357"/>
      <c r="K39" s="357"/>
      <c r="L39" s="357"/>
      <c r="M39" s="357"/>
      <c r="N39" s="357"/>
      <c r="O39" s="357"/>
    </row>
    <row r="40" spans="1:16" x14ac:dyDescent="0.2">
      <c r="A40" s="357" t="s">
        <v>65</v>
      </c>
      <c r="B40" s="357"/>
      <c r="C40" s="357"/>
      <c r="D40" s="357"/>
      <c r="E40" s="357"/>
      <c r="F40" s="357"/>
      <c r="G40" s="357"/>
      <c r="H40" s="357"/>
      <c r="I40" s="357"/>
      <c r="J40" s="357"/>
      <c r="K40" s="357"/>
      <c r="L40" s="357"/>
      <c r="M40" s="357"/>
      <c r="N40" s="357"/>
      <c r="O40" s="357"/>
    </row>
  </sheetData>
  <mergeCells count="24">
    <mergeCell ref="A39:O39"/>
    <mergeCell ref="F12:K12"/>
    <mergeCell ref="A40:O40"/>
    <mergeCell ref="C28:H28"/>
    <mergeCell ref="C29:H29"/>
    <mergeCell ref="C33:H33"/>
    <mergeCell ref="C34:H34"/>
    <mergeCell ref="A25:K25"/>
    <mergeCell ref="C2:I2"/>
    <mergeCell ref="C3:I3"/>
    <mergeCell ref="D5:L5"/>
    <mergeCell ref="D6:L6"/>
    <mergeCell ref="D7:L7"/>
    <mergeCell ref="C4:I4"/>
    <mergeCell ref="D8:L8"/>
    <mergeCell ref="N9:O9"/>
    <mergeCell ref="A12:A13"/>
    <mergeCell ref="B12:B13"/>
    <mergeCell ref="C12:C13"/>
    <mergeCell ref="D12:D13"/>
    <mergeCell ref="E12:E13"/>
    <mergeCell ref="L12:P12"/>
    <mergeCell ref="A9:F9"/>
    <mergeCell ref="J9:M9"/>
  </mergeCells>
  <conditionalFormatting sqref="N9:O9">
    <cfRule type="cellIs" dxfId="153" priority="25" operator="equal">
      <formula>0</formula>
    </cfRule>
  </conditionalFormatting>
  <conditionalFormatting sqref="A9:F9">
    <cfRule type="containsText" dxfId="152" priority="23"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51" priority="22" operator="equal">
      <formula>0</formula>
    </cfRule>
  </conditionalFormatting>
  <conditionalFormatting sqref="O10">
    <cfRule type="cellIs" dxfId="150" priority="21" operator="equal">
      <formula>"20__. gada __. _________"</formula>
    </cfRule>
  </conditionalFormatting>
  <conditionalFormatting sqref="A25:K25">
    <cfRule type="containsText" dxfId="149" priority="20" operator="containsText" text="Tiešās izmaksas kopā, t. sk. darba devēja sociālais nodoklis __.__% ">
      <formula>NOT(ISERROR(SEARCH("Tiešās izmaksas kopā, t. sk. darba devēja sociālais nodoklis __.__% ",A25)))</formula>
    </cfRule>
  </conditionalFormatting>
  <conditionalFormatting sqref="L25:P25 H14:H24 K14:P24">
    <cfRule type="cellIs" dxfId="148" priority="15" operator="equal">
      <formula>0</formula>
    </cfRule>
  </conditionalFormatting>
  <conditionalFormatting sqref="C4:I4">
    <cfRule type="cellIs" dxfId="147" priority="14" operator="equal">
      <formula>0</formula>
    </cfRule>
  </conditionalFormatting>
  <conditionalFormatting sqref="D5:L8">
    <cfRule type="cellIs" dxfId="146" priority="11" operator="equal">
      <formula>0</formula>
    </cfRule>
  </conditionalFormatting>
  <conditionalFormatting sqref="D14:G24 A14:B24">
    <cfRule type="cellIs" dxfId="145" priority="10" operator="equal">
      <formula>0</formula>
    </cfRule>
  </conditionalFormatting>
  <conditionalFormatting sqref="C14:C24">
    <cfRule type="cellIs" dxfId="144" priority="9" operator="equal">
      <formula>0</formula>
    </cfRule>
  </conditionalFormatting>
  <conditionalFormatting sqref="I14:J24">
    <cfRule type="cellIs" dxfId="143" priority="8" operator="equal">
      <formula>0</formula>
    </cfRule>
  </conditionalFormatting>
  <conditionalFormatting sqref="P10">
    <cfRule type="cellIs" dxfId="142" priority="7" operator="equal">
      <formula>"20__. gada __. _________"</formula>
    </cfRule>
  </conditionalFormatting>
  <conditionalFormatting sqref="C33:H33">
    <cfRule type="cellIs" dxfId="141" priority="4" operator="equal">
      <formula>0</formula>
    </cfRule>
  </conditionalFormatting>
  <conditionalFormatting sqref="C28:H28">
    <cfRule type="cellIs" dxfId="140" priority="3" operator="equal">
      <formula>0</formula>
    </cfRule>
  </conditionalFormatting>
  <conditionalFormatting sqref="C33:H33 C36 C28:H28">
    <cfRule type="cellIs" dxfId="139" priority="2" operator="equal">
      <formula>0</formula>
    </cfRule>
  </conditionalFormatting>
  <conditionalFormatting sqref="D1">
    <cfRule type="cellIs" dxfId="138" priority="1" operator="equal">
      <formula>0</formula>
    </cfRule>
  </conditionalFormatting>
  <pageMargins left="0.7" right="0.7" top="0.75" bottom="0.75" header="0.3" footer="0.3"/>
  <pageSetup paperSize="9" scale="90" fitToHeight="0" orientation="landscape" r:id="rId1"/>
  <headerFooter>
    <oddFooter>&amp;R&amp;P</oddFooter>
  </headerFooter>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D422C369-7259-49E7-A89B-9D562DEE2E41}">
            <xm:f>NOT(ISERROR(SEARCH("Tāme sastādīta ____. gada ___. ______________",A31)))</xm:f>
            <xm:f>"Tāme sastādīta ____. gada ___. ______________"</xm:f>
            <x14:dxf>
              <font>
                <color auto="1"/>
              </font>
              <fill>
                <patternFill>
                  <bgColor rgb="FFC6EFCE"/>
                </patternFill>
              </fill>
            </x14:dxf>
          </x14:cfRule>
          <xm:sqref>A31</xm:sqref>
        </x14:conditionalFormatting>
        <x14:conditionalFormatting xmlns:xm="http://schemas.microsoft.com/office/excel/2006/main">
          <x14:cfRule type="containsText" priority="5" operator="containsText" id="{D859E3E6-089F-4F16-889A-98EF63E5F3AC}">
            <xm:f>NOT(ISERROR(SEARCH("Sertifikāta Nr. _________________________________",A36)))</xm:f>
            <xm:f>"Sertifikāta Nr. _________________________________"</xm:f>
            <x14:dxf>
              <font>
                <color auto="1"/>
              </font>
              <fill>
                <patternFill>
                  <bgColor rgb="FFC6EFCE"/>
                </patternFill>
              </fill>
            </x14:dxf>
          </x14:cfRule>
          <xm:sqref>A36</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5757"/>
    <pageSetUpPr fitToPage="1"/>
  </sheetPr>
  <dimension ref="A1:T74"/>
  <sheetViews>
    <sheetView view="pageBreakPreview" topLeftCell="A40" zoomScale="115" zoomScaleNormal="100" zoomScaleSheetLayoutView="115" workbookViewId="0">
      <selection activeCell="A10" sqref="A10"/>
    </sheetView>
  </sheetViews>
  <sheetFormatPr defaultColWidth="9.140625" defaultRowHeight="11.25" x14ac:dyDescent="0.2"/>
  <cols>
    <col min="1" max="1" width="4.5703125" style="174" customWidth="1"/>
    <col min="2" max="2" width="5.28515625" style="174" customWidth="1"/>
    <col min="3" max="3" width="38.42578125" style="174" customWidth="1"/>
    <col min="4" max="4" width="5.85546875" style="174" customWidth="1"/>
    <col min="5" max="5" width="8.7109375" style="174" customWidth="1"/>
    <col min="6" max="6" width="5.42578125" style="174" customWidth="1"/>
    <col min="7" max="7" width="4.85546875" style="174" customWidth="1"/>
    <col min="8" max="10" width="6.7109375" style="174" customWidth="1"/>
    <col min="11" max="11" width="7" style="174" customWidth="1"/>
    <col min="12" max="15" width="7.7109375" style="174" customWidth="1"/>
    <col min="16" max="16" width="9" style="174" customWidth="1"/>
    <col min="17" max="16384" width="9.140625" style="174"/>
  </cols>
  <sheetData>
    <row r="1" spans="1:20" x14ac:dyDescent="0.2">
      <c r="A1" s="167"/>
      <c r="B1" s="167"/>
      <c r="C1" s="194" t="s">
        <v>38</v>
      </c>
      <c r="D1" s="195">
        <f>'Kops a'!A18</f>
        <v>4</v>
      </c>
      <c r="E1" s="167"/>
      <c r="F1" s="167"/>
      <c r="G1" s="167"/>
      <c r="H1" s="167"/>
      <c r="I1" s="167"/>
      <c r="J1" s="167"/>
      <c r="N1" s="196"/>
      <c r="O1" s="194"/>
      <c r="P1" s="197"/>
    </row>
    <row r="2" spans="1:20" x14ac:dyDescent="0.2">
      <c r="A2" s="198"/>
      <c r="B2" s="198"/>
      <c r="C2" s="338" t="s">
        <v>92</v>
      </c>
      <c r="D2" s="338"/>
      <c r="E2" s="338"/>
      <c r="F2" s="338"/>
      <c r="G2" s="338"/>
      <c r="H2" s="338"/>
      <c r="I2" s="338"/>
      <c r="J2" s="198"/>
    </row>
    <row r="3" spans="1:20" x14ac:dyDescent="0.2">
      <c r="A3" s="199"/>
      <c r="B3" s="199"/>
      <c r="C3" s="339" t="s">
        <v>17</v>
      </c>
      <c r="D3" s="339"/>
      <c r="E3" s="339"/>
      <c r="F3" s="339"/>
      <c r="G3" s="339"/>
      <c r="H3" s="339"/>
      <c r="I3" s="339"/>
      <c r="J3" s="199"/>
    </row>
    <row r="4" spans="1:20" x14ac:dyDescent="0.2">
      <c r="A4" s="199"/>
      <c r="B4" s="199"/>
      <c r="C4" s="340" t="s">
        <v>52</v>
      </c>
      <c r="D4" s="340"/>
      <c r="E4" s="340"/>
      <c r="F4" s="340"/>
      <c r="G4" s="340"/>
      <c r="H4" s="340"/>
      <c r="I4" s="340"/>
      <c r="J4" s="199"/>
    </row>
    <row r="5" spans="1:20" x14ac:dyDescent="0.2">
      <c r="A5" s="167"/>
      <c r="B5" s="167"/>
      <c r="C5" s="194" t="s">
        <v>5</v>
      </c>
      <c r="D5" s="354" t="str">
        <f>'Kops a'!D6</f>
        <v>Dzīvojamās ēkas vienkāršotā atjaunošana</v>
      </c>
      <c r="E5" s="354"/>
      <c r="F5" s="354"/>
      <c r="G5" s="354"/>
      <c r="H5" s="354"/>
      <c r="I5" s="354"/>
      <c r="J5" s="354"/>
      <c r="K5" s="354"/>
      <c r="L5" s="354"/>
      <c r="M5" s="173"/>
      <c r="N5" s="173"/>
      <c r="O5" s="173"/>
      <c r="P5" s="173"/>
    </row>
    <row r="6" spans="1:20" x14ac:dyDescent="0.2">
      <c r="A6" s="167"/>
      <c r="B6" s="167"/>
      <c r="C6" s="194" t="s">
        <v>6</v>
      </c>
      <c r="D6" s="354" t="str">
        <f>'Kops a'!D7</f>
        <v>Daudzdzīvokļu dzīvojamās ēkas energoefektivitātes paaugstināšanas pasākumi</v>
      </c>
      <c r="E6" s="354"/>
      <c r="F6" s="354"/>
      <c r="G6" s="354"/>
      <c r="H6" s="354"/>
      <c r="I6" s="354"/>
      <c r="J6" s="354"/>
      <c r="K6" s="354"/>
      <c r="L6" s="354"/>
      <c r="M6" s="173"/>
      <c r="N6" s="173"/>
      <c r="O6" s="173"/>
      <c r="P6" s="173"/>
    </row>
    <row r="7" spans="1:20" x14ac:dyDescent="0.2">
      <c r="A7" s="167"/>
      <c r="B7" s="167"/>
      <c r="C7" s="194" t="s">
        <v>7</v>
      </c>
      <c r="D7" s="354" t="str">
        <f>'Kops a'!D8</f>
        <v>Dzērves iela 23, Liepāja</v>
      </c>
      <c r="E7" s="354"/>
      <c r="F7" s="354"/>
      <c r="G7" s="354"/>
      <c r="H7" s="354"/>
      <c r="I7" s="354"/>
      <c r="J7" s="354"/>
      <c r="K7" s="354"/>
      <c r="L7" s="354"/>
      <c r="M7" s="173"/>
      <c r="N7" s="173"/>
      <c r="O7" s="173"/>
      <c r="P7" s="173"/>
    </row>
    <row r="8" spans="1:20" x14ac:dyDescent="0.2">
      <c r="A8" s="167"/>
      <c r="B8" s="167"/>
      <c r="C8" s="200" t="s">
        <v>20</v>
      </c>
      <c r="D8" s="354" t="str">
        <f>'Kops a'!D9</f>
        <v>EA-14-17/WOOS</v>
      </c>
      <c r="E8" s="354"/>
      <c r="F8" s="354"/>
      <c r="G8" s="354"/>
      <c r="H8" s="354"/>
      <c r="I8" s="354"/>
      <c r="J8" s="354"/>
      <c r="K8" s="354"/>
      <c r="L8" s="354"/>
      <c r="M8" s="173"/>
      <c r="N8" s="173"/>
      <c r="O8" s="173"/>
      <c r="P8" s="173"/>
    </row>
    <row r="9" spans="1:20" x14ac:dyDescent="0.2">
      <c r="A9" s="341" t="s">
        <v>556</v>
      </c>
      <c r="B9" s="341"/>
      <c r="C9" s="341"/>
      <c r="D9" s="341"/>
      <c r="E9" s="341"/>
      <c r="F9" s="341"/>
      <c r="G9" s="175"/>
      <c r="H9" s="175"/>
      <c r="I9" s="175"/>
      <c r="J9" s="345" t="s">
        <v>39</v>
      </c>
      <c r="K9" s="345"/>
      <c r="L9" s="345"/>
      <c r="M9" s="345"/>
      <c r="N9" s="353">
        <f>P59</f>
        <v>0</v>
      </c>
      <c r="O9" s="353"/>
      <c r="P9" s="175"/>
    </row>
    <row r="10" spans="1:20" x14ac:dyDescent="0.2">
      <c r="A10" s="201"/>
      <c r="B10" s="202"/>
      <c r="C10" s="200"/>
      <c r="D10" s="167"/>
      <c r="E10" s="167"/>
      <c r="F10" s="167"/>
      <c r="G10" s="167"/>
      <c r="H10" s="167"/>
      <c r="I10" s="167"/>
      <c r="J10" s="167"/>
      <c r="K10" s="167"/>
      <c r="L10" s="198"/>
      <c r="M10" s="198"/>
      <c r="O10" s="237"/>
      <c r="P10" s="204" t="str">
        <f>A65</f>
        <v>Tāme sastādīta 2021. gada</v>
      </c>
    </row>
    <row r="11" spans="1:20" ht="12" thickBot="1" x14ac:dyDescent="0.25">
      <c r="A11" s="201"/>
      <c r="B11" s="202"/>
      <c r="C11" s="200"/>
      <c r="D11" s="167"/>
      <c r="E11" s="167"/>
      <c r="F11" s="167"/>
      <c r="G11" s="167"/>
      <c r="H11" s="167"/>
      <c r="I11" s="167"/>
      <c r="J11" s="167"/>
      <c r="K11" s="167"/>
      <c r="L11" s="205"/>
      <c r="M11" s="205"/>
      <c r="N11" s="206"/>
      <c r="O11" s="196"/>
      <c r="P11" s="167"/>
    </row>
    <row r="12" spans="1:20" x14ac:dyDescent="0.2">
      <c r="A12" s="346" t="s">
        <v>23</v>
      </c>
      <c r="B12" s="348" t="s">
        <v>40</v>
      </c>
      <c r="C12" s="343" t="s">
        <v>41</v>
      </c>
      <c r="D12" s="351" t="s">
        <v>42</v>
      </c>
      <c r="E12" s="355" t="s">
        <v>43</v>
      </c>
      <c r="F12" s="342" t="s">
        <v>44</v>
      </c>
      <c r="G12" s="343"/>
      <c r="H12" s="343"/>
      <c r="I12" s="343"/>
      <c r="J12" s="343"/>
      <c r="K12" s="344"/>
      <c r="L12" s="342" t="s">
        <v>45</v>
      </c>
      <c r="M12" s="343"/>
      <c r="N12" s="343"/>
      <c r="O12" s="343"/>
      <c r="P12" s="344"/>
    </row>
    <row r="13" spans="1:20" ht="118.5" thickBot="1" x14ac:dyDescent="0.25">
      <c r="A13" s="347"/>
      <c r="B13" s="349"/>
      <c r="C13" s="350"/>
      <c r="D13" s="352"/>
      <c r="E13" s="356"/>
      <c r="F13" s="207" t="s">
        <v>46</v>
      </c>
      <c r="G13" s="208" t="s">
        <v>47</v>
      </c>
      <c r="H13" s="208" t="s">
        <v>48</v>
      </c>
      <c r="I13" s="208" t="s">
        <v>49</v>
      </c>
      <c r="J13" s="208" t="s">
        <v>50</v>
      </c>
      <c r="K13" s="209" t="s">
        <v>51</v>
      </c>
      <c r="L13" s="207" t="s">
        <v>46</v>
      </c>
      <c r="M13" s="208" t="s">
        <v>48</v>
      </c>
      <c r="N13" s="208" t="s">
        <v>49</v>
      </c>
      <c r="O13" s="208" t="s">
        <v>50</v>
      </c>
      <c r="P13" s="209" t="s">
        <v>51</v>
      </c>
    </row>
    <row r="14" spans="1:20" ht="11.25" customHeight="1" x14ac:dyDescent="0.2">
      <c r="A14" s="59">
        <f>IF(COUNTBLANK(B14)=1," ",COUNTA(B$14:B14))</f>
        <v>1</v>
      </c>
      <c r="B14" s="60" t="s">
        <v>93</v>
      </c>
      <c r="C14" s="61" t="s">
        <v>164</v>
      </c>
      <c r="D14" s="59" t="s">
        <v>100</v>
      </c>
      <c r="E14" s="75">
        <v>22</v>
      </c>
      <c r="F14" s="75"/>
      <c r="G14" s="75"/>
      <c r="H14" s="75"/>
      <c r="I14" s="75"/>
      <c r="J14" s="75"/>
      <c r="K14" s="75"/>
      <c r="L14" s="75"/>
      <c r="M14" s="75"/>
      <c r="N14" s="75"/>
      <c r="O14" s="75"/>
      <c r="P14" s="75"/>
      <c r="Q14" s="175"/>
      <c r="R14" s="175"/>
      <c r="S14" s="175"/>
      <c r="T14" s="175"/>
    </row>
    <row r="15" spans="1:20" x14ac:dyDescent="0.2">
      <c r="A15" s="59">
        <f>IF(COUNTBLANK(B15)=1," ",COUNTA(B$14:B15))</f>
        <v>2</v>
      </c>
      <c r="B15" s="60" t="s">
        <v>93</v>
      </c>
      <c r="C15" s="61" t="s">
        <v>140</v>
      </c>
      <c r="D15" s="59" t="s">
        <v>100</v>
      </c>
      <c r="E15" s="129">
        <v>313.10000000000002</v>
      </c>
      <c r="F15" s="75"/>
      <c r="G15" s="75"/>
      <c r="H15" s="75"/>
      <c r="I15" s="75"/>
      <c r="J15" s="75"/>
      <c r="K15" s="75"/>
      <c r="L15" s="75"/>
      <c r="M15" s="75"/>
      <c r="N15" s="75"/>
      <c r="O15" s="75"/>
      <c r="P15" s="75"/>
      <c r="Q15" s="175"/>
      <c r="R15" s="175"/>
      <c r="S15" s="175"/>
      <c r="T15" s="175"/>
    </row>
    <row r="16" spans="1:20" ht="22.5" x14ac:dyDescent="0.2">
      <c r="A16" s="59">
        <f>IF(COUNTBLANK(B16)=1," ",COUNTA(B$14:B16))</f>
        <v>3</v>
      </c>
      <c r="B16" s="60" t="s">
        <v>93</v>
      </c>
      <c r="C16" s="61" t="s">
        <v>141</v>
      </c>
      <c r="D16" s="59" t="s">
        <v>120</v>
      </c>
      <c r="E16" s="129">
        <f>170*1.2*1</f>
        <v>204</v>
      </c>
      <c r="F16" s="75"/>
      <c r="G16" s="75"/>
      <c r="H16" s="75"/>
      <c r="I16" s="75"/>
      <c r="J16" s="75"/>
      <c r="K16" s="75"/>
      <c r="L16" s="75"/>
      <c r="M16" s="75"/>
      <c r="N16" s="75"/>
      <c r="O16" s="75"/>
      <c r="P16" s="75"/>
      <c r="Q16" s="175"/>
      <c r="R16" s="175"/>
      <c r="S16" s="175"/>
      <c r="T16" s="175"/>
    </row>
    <row r="17" spans="1:20" ht="22.5" x14ac:dyDescent="0.2">
      <c r="A17" s="59">
        <f>IF(COUNTBLANK(B17)=1," ",COUNTA(B$14:B17))</f>
        <v>4</v>
      </c>
      <c r="B17" s="60" t="s">
        <v>93</v>
      </c>
      <c r="C17" s="61" t="s">
        <v>142</v>
      </c>
      <c r="D17" s="59" t="s">
        <v>100</v>
      </c>
      <c r="E17" s="129">
        <f>E15</f>
        <v>313.10000000000002</v>
      </c>
      <c r="F17" s="75"/>
      <c r="G17" s="75"/>
      <c r="H17" s="75"/>
      <c r="I17" s="75"/>
      <c r="J17" s="75"/>
      <c r="K17" s="75"/>
      <c r="L17" s="75"/>
      <c r="M17" s="75"/>
      <c r="N17" s="75"/>
      <c r="O17" s="75"/>
      <c r="P17" s="75"/>
      <c r="Q17" s="175"/>
      <c r="R17" s="175"/>
      <c r="S17" s="175"/>
      <c r="T17" s="175"/>
    </row>
    <row r="18" spans="1:20" ht="22.5" x14ac:dyDescent="0.2">
      <c r="A18" s="59" t="str">
        <f>IF(COUNTBLANK(B18)=1," ",COUNTA(B$14:B18))</f>
        <v xml:space="preserve"> </v>
      </c>
      <c r="B18" s="59"/>
      <c r="C18" s="62" t="s">
        <v>473</v>
      </c>
      <c r="D18" s="59" t="s">
        <v>107</v>
      </c>
      <c r="E18" s="75">
        <f>E17*0.5</f>
        <v>156.55000000000001</v>
      </c>
      <c r="F18" s="75"/>
      <c r="G18" s="75"/>
      <c r="H18" s="75"/>
      <c r="I18" s="75"/>
      <c r="J18" s="75"/>
      <c r="K18" s="75"/>
      <c r="L18" s="75"/>
      <c r="M18" s="75"/>
      <c r="N18" s="75"/>
      <c r="O18" s="75"/>
      <c r="P18" s="75"/>
    </row>
    <row r="19" spans="1:20" ht="22.5" x14ac:dyDescent="0.2">
      <c r="A19" s="59">
        <f>IF(COUNTBLANK(B19)=1," ",COUNTA(B$14:B19))</f>
        <v>5</v>
      </c>
      <c r="B19" s="60" t="s">
        <v>93</v>
      </c>
      <c r="C19" s="61" t="s">
        <v>143</v>
      </c>
      <c r="D19" s="59" t="s">
        <v>100</v>
      </c>
      <c r="E19" s="129">
        <f>E17</f>
        <v>313.10000000000002</v>
      </c>
      <c r="F19" s="75"/>
      <c r="G19" s="75"/>
      <c r="H19" s="75"/>
      <c r="I19" s="75"/>
      <c r="J19" s="75"/>
      <c r="K19" s="75"/>
      <c r="L19" s="75"/>
      <c r="M19" s="75"/>
      <c r="N19" s="75"/>
      <c r="O19" s="75"/>
      <c r="P19" s="75"/>
    </row>
    <row r="20" spans="1:20" x14ac:dyDescent="0.2">
      <c r="A20" s="59" t="str">
        <f>IF(COUNTBLANK(B20)=1," ",COUNTA(B$14:B20))</f>
        <v xml:space="preserve"> </v>
      </c>
      <c r="B20" s="59"/>
      <c r="C20" s="62" t="s">
        <v>474</v>
      </c>
      <c r="D20" s="75" t="s">
        <v>107</v>
      </c>
      <c r="E20" s="75">
        <f>E19*1</f>
        <v>313.10000000000002</v>
      </c>
      <c r="F20" s="75"/>
      <c r="G20" s="75"/>
      <c r="H20" s="75"/>
      <c r="I20" s="75"/>
      <c r="J20" s="75"/>
      <c r="K20" s="75"/>
      <c r="L20" s="75"/>
      <c r="M20" s="75"/>
      <c r="N20" s="75"/>
      <c r="O20" s="75"/>
      <c r="P20" s="75"/>
    </row>
    <row r="21" spans="1:20" ht="90" x14ac:dyDescent="0.2">
      <c r="A21" s="59">
        <f>IF(COUNTBLANK(B21)=1," ",COUNTA(B$14:B21))</f>
        <v>6</v>
      </c>
      <c r="B21" s="61" t="s">
        <v>90</v>
      </c>
      <c r="C21" s="61" t="s">
        <v>550</v>
      </c>
      <c r="D21" s="59" t="s">
        <v>100</v>
      </c>
      <c r="E21" s="129">
        <f>314.3*1.1</f>
        <v>345.73</v>
      </c>
      <c r="F21" s="75"/>
      <c r="G21" s="75"/>
      <c r="H21" s="75"/>
      <c r="I21" s="75"/>
      <c r="J21" s="59"/>
      <c r="K21" s="75"/>
      <c r="L21" s="75"/>
      <c r="M21" s="75"/>
      <c r="N21" s="75"/>
      <c r="O21" s="75"/>
      <c r="P21" s="75"/>
    </row>
    <row r="22" spans="1:20" x14ac:dyDescent="0.2">
      <c r="A22" s="59" t="str">
        <f>IF(COUNTBLANK(B22)=1," ",COUNTA(B$14:B22))</f>
        <v xml:space="preserve"> </v>
      </c>
      <c r="B22" s="59"/>
      <c r="C22" s="61" t="s">
        <v>139</v>
      </c>
      <c r="D22" s="59" t="s">
        <v>61</v>
      </c>
      <c r="E22" s="75">
        <f>E21*1.1</f>
        <v>380.30300000000005</v>
      </c>
      <c r="F22" s="59"/>
      <c r="G22" s="59"/>
      <c r="H22" s="59"/>
      <c r="I22" s="75"/>
      <c r="J22" s="75"/>
      <c r="K22" s="75"/>
      <c r="L22" s="75"/>
      <c r="M22" s="75"/>
      <c r="N22" s="75"/>
      <c r="O22" s="75"/>
      <c r="P22" s="75"/>
    </row>
    <row r="23" spans="1:20" x14ac:dyDescent="0.2">
      <c r="A23" s="59" t="str">
        <f>IF(COUNTBLANK(B23)=1," ",COUNTA(B$14:B23))</f>
        <v xml:space="preserve"> </v>
      </c>
      <c r="B23" s="59"/>
      <c r="C23" s="61" t="s">
        <v>461</v>
      </c>
      <c r="D23" s="59" t="s">
        <v>107</v>
      </c>
      <c r="E23" s="75">
        <f>E21*5</f>
        <v>1728.65</v>
      </c>
      <c r="F23" s="75"/>
      <c r="G23" s="75"/>
      <c r="H23" s="75"/>
      <c r="I23" s="75"/>
      <c r="J23" s="75"/>
      <c r="K23" s="75"/>
      <c r="L23" s="75"/>
      <c r="M23" s="75"/>
      <c r="N23" s="75"/>
      <c r="O23" s="75"/>
      <c r="P23" s="75"/>
    </row>
    <row r="24" spans="1:20" x14ac:dyDescent="0.2">
      <c r="A24" s="59" t="str">
        <f>IF(COUNTBLANK(B24)=1," ",COUNTA(B$14:B24))</f>
        <v xml:space="preserve"> </v>
      </c>
      <c r="B24" s="59"/>
      <c r="C24" s="61" t="s">
        <v>462</v>
      </c>
      <c r="D24" s="59" t="s">
        <v>110</v>
      </c>
      <c r="E24" s="75">
        <f>E21*6</f>
        <v>2074.38</v>
      </c>
      <c r="F24" s="75"/>
      <c r="G24" s="75"/>
      <c r="H24" s="59"/>
      <c r="I24" s="75"/>
      <c r="J24" s="75"/>
      <c r="K24" s="75"/>
      <c r="L24" s="75"/>
      <c r="M24" s="75"/>
      <c r="N24" s="75"/>
      <c r="O24" s="75"/>
      <c r="P24" s="75"/>
    </row>
    <row r="25" spans="1:20" x14ac:dyDescent="0.2">
      <c r="A25" s="59">
        <f>IF(COUNTBLANK(B25)=1," ",COUNTA(B$14:B25))</f>
        <v>7</v>
      </c>
      <c r="B25" s="60" t="s">
        <v>93</v>
      </c>
      <c r="C25" s="61" t="s">
        <v>144</v>
      </c>
      <c r="D25" s="59" t="s">
        <v>120</v>
      </c>
      <c r="E25" s="129">
        <f>E16</f>
        <v>204</v>
      </c>
      <c r="F25" s="75"/>
      <c r="G25" s="75"/>
      <c r="H25" s="75"/>
      <c r="I25" s="75"/>
      <c r="J25" s="75"/>
      <c r="K25" s="75"/>
      <c r="L25" s="75"/>
      <c r="M25" s="75"/>
      <c r="N25" s="75"/>
      <c r="O25" s="75"/>
      <c r="P25" s="75"/>
    </row>
    <row r="26" spans="1:20" ht="22.5" x14ac:dyDescent="0.2">
      <c r="A26" s="59">
        <f>IF(COUNTBLANK(B26)=1," ",COUNTA(B$14:B26))</f>
        <v>8</v>
      </c>
      <c r="B26" s="60" t="s">
        <v>93</v>
      </c>
      <c r="C26" s="61" t="s">
        <v>166</v>
      </c>
      <c r="D26" s="59" t="s">
        <v>100</v>
      </c>
      <c r="E26" s="129">
        <v>68</v>
      </c>
      <c r="F26" s="75"/>
      <c r="G26" s="75"/>
      <c r="H26" s="75"/>
      <c r="I26" s="75"/>
      <c r="J26" s="75"/>
      <c r="K26" s="75"/>
      <c r="L26" s="75"/>
      <c r="M26" s="75"/>
      <c r="N26" s="75"/>
      <c r="O26" s="75"/>
      <c r="P26" s="75"/>
    </row>
    <row r="27" spans="1:20" x14ac:dyDescent="0.2">
      <c r="A27" s="59" t="str">
        <f>IF(COUNTBLANK(B27)=1," ",COUNTA(B$14:B27))</f>
        <v xml:space="preserve"> </v>
      </c>
      <c r="B27" s="59"/>
      <c r="C27" s="61" t="s">
        <v>475</v>
      </c>
      <c r="D27" s="59" t="s">
        <v>107</v>
      </c>
      <c r="E27" s="75">
        <f>E26*10</f>
        <v>680</v>
      </c>
      <c r="F27" s="75"/>
      <c r="G27" s="75"/>
      <c r="H27" s="75"/>
      <c r="I27" s="75"/>
      <c r="J27" s="75"/>
      <c r="K27" s="75"/>
      <c r="L27" s="75"/>
      <c r="M27" s="75"/>
      <c r="N27" s="75"/>
      <c r="O27" s="75"/>
      <c r="P27" s="75"/>
    </row>
    <row r="28" spans="1:20" x14ac:dyDescent="0.2">
      <c r="A28" s="59" t="str">
        <f>IF(COUNTBLANK(B28)=1," ",COUNTA(B$14:B28))</f>
        <v xml:space="preserve"> </v>
      </c>
      <c r="B28" s="59"/>
      <c r="C28" s="61" t="s">
        <v>168</v>
      </c>
      <c r="D28" s="59" t="s">
        <v>61</v>
      </c>
      <c r="E28" s="75">
        <f>E26*1.1*2</f>
        <v>149.60000000000002</v>
      </c>
      <c r="F28" s="75"/>
      <c r="G28" s="75"/>
      <c r="H28" s="75"/>
      <c r="I28" s="75"/>
      <c r="J28" s="75"/>
      <c r="K28" s="75"/>
      <c r="L28" s="75"/>
      <c r="M28" s="75"/>
      <c r="N28" s="75"/>
      <c r="O28" s="75"/>
      <c r="P28" s="75"/>
    </row>
    <row r="29" spans="1:20" x14ac:dyDescent="0.2">
      <c r="A29" s="59" t="str">
        <f>IF(COUNTBLANK(B29)=1," ",COUNTA(B$14:B29))</f>
        <v xml:space="preserve"> </v>
      </c>
      <c r="B29" s="59"/>
      <c r="C29" s="61" t="s">
        <v>114</v>
      </c>
      <c r="D29" s="59" t="s">
        <v>115</v>
      </c>
      <c r="E29" s="75">
        <f>E26*0.1</f>
        <v>6.8000000000000007</v>
      </c>
      <c r="F29" s="75"/>
      <c r="G29" s="75"/>
      <c r="H29" s="75"/>
      <c r="I29" s="75"/>
      <c r="J29" s="75"/>
      <c r="K29" s="75"/>
      <c r="L29" s="75"/>
      <c r="M29" s="75"/>
      <c r="N29" s="75"/>
      <c r="O29" s="75"/>
      <c r="P29" s="75"/>
    </row>
    <row r="30" spans="1:20" x14ac:dyDescent="0.2">
      <c r="A30" s="59" t="str">
        <f>IF(COUNTBLANK(B30)=1," ",COUNTA(B$14:B30))</f>
        <v xml:space="preserve"> </v>
      </c>
      <c r="B30" s="59"/>
      <c r="C30" s="62" t="s">
        <v>453</v>
      </c>
      <c r="D30" s="59" t="s">
        <v>107</v>
      </c>
      <c r="E30" s="75">
        <f>E26*0.3</f>
        <v>20.399999999999999</v>
      </c>
      <c r="F30" s="75"/>
      <c r="G30" s="75"/>
      <c r="H30" s="75"/>
      <c r="I30" s="75"/>
      <c r="J30" s="75"/>
      <c r="K30" s="75"/>
      <c r="L30" s="75"/>
      <c r="M30" s="75"/>
      <c r="N30" s="75"/>
      <c r="O30" s="75"/>
      <c r="P30" s="75"/>
    </row>
    <row r="31" spans="1:20" x14ac:dyDescent="0.2">
      <c r="A31" s="59" t="str">
        <f>IF(COUNTBLANK(B31)=1," ",COUNTA(B$14:B31))</f>
        <v xml:space="preserve"> </v>
      </c>
      <c r="B31" s="59"/>
      <c r="C31" s="61" t="s">
        <v>169</v>
      </c>
      <c r="D31" s="59" t="s">
        <v>107</v>
      </c>
      <c r="E31" s="75">
        <f>E26*5</f>
        <v>340</v>
      </c>
      <c r="F31" s="75"/>
      <c r="G31" s="75"/>
      <c r="H31" s="75"/>
      <c r="I31" s="75"/>
      <c r="J31" s="75"/>
      <c r="K31" s="75"/>
      <c r="L31" s="75"/>
      <c r="M31" s="75"/>
      <c r="N31" s="75"/>
      <c r="O31" s="75"/>
      <c r="P31" s="75"/>
    </row>
    <row r="32" spans="1:20" ht="22.5" x14ac:dyDescent="0.2">
      <c r="A32" s="59">
        <f>IF(COUNTBLANK(B32)=1," ",COUNTA(B$14:B32))</f>
        <v>9</v>
      </c>
      <c r="B32" s="60" t="s">
        <v>93</v>
      </c>
      <c r="C32" s="61" t="s">
        <v>167</v>
      </c>
      <c r="D32" s="59" t="s">
        <v>100</v>
      </c>
      <c r="E32" s="129">
        <f>235.2-E26</f>
        <v>167.2</v>
      </c>
      <c r="F32" s="75"/>
      <c r="G32" s="75"/>
      <c r="H32" s="75"/>
      <c r="I32" s="75"/>
      <c r="J32" s="75"/>
      <c r="K32" s="75"/>
      <c r="L32" s="75"/>
      <c r="M32" s="75"/>
      <c r="N32" s="75"/>
      <c r="O32" s="75"/>
      <c r="P32" s="75"/>
    </row>
    <row r="33" spans="1:16" x14ac:dyDescent="0.2">
      <c r="A33" s="59" t="str">
        <f>IF(COUNTBLANK(B33)=1," ",COUNTA(B$14:B33))</f>
        <v xml:space="preserve"> </v>
      </c>
      <c r="B33" s="59"/>
      <c r="C33" s="61" t="s">
        <v>476</v>
      </c>
      <c r="D33" s="59" t="s">
        <v>107</v>
      </c>
      <c r="E33" s="75">
        <f>E32*5</f>
        <v>836</v>
      </c>
      <c r="F33" s="75"/>
      <c r="G33" s="75"/>
      <c r="H33" s="75"/>
      <c r="I33" s="75"/>
      <c r="J33" s="75"/>
      <c r="K33" s="75"/>
      <c r="L33" s="75"/>
      <c r="M33" s="75"/>
      <c r="N33" s="75"/>
      <c r="O33" s="75"/>
      <c r="P33" s="75"/>
    </row>
    <row r="34" spans="1:16" x14ac:dyDescent="0.2">
      <c r="A34" s="59" t="str">
        <f>IF(COUNTBLANK(B34)=1," ",COUNTA(B$14:B34))</f>
        <v xml:space="preserve"> </v>
      </c>
      <c r="B34" s="59"/>
      <c r="C34" s="61" t="s">
        <v>112</v>
      </c>
      <c r="D34" s="59" t="s">
        <v>100</v>
      </c>
      <c r="E34" s="75">
        <f>E32*1.1</f>
        <v>183.92000000000002</v>
      </c>
      <c r="F34" s="75"/>
      <c r="G34" s="75"/>
      <c r="H34" s="75"/>
      <c r="I34" s="75"/>
      <c r="J34" s="75"/>
      <c r="K34" s="75"/>
      <c r="L34" s="75"/>
      <c r="M34" s="75"/>
      <c r="N34" s="75"/>
      <c r="O34" s="75"/>
      <c r="P34" s="75"/>
    </row>
    <row r="35" spans="1:16" x14ac:dyDescent="0.2">
      <c r="A35" s="59" t="str">
        <f>IF(COUNTBLANK(B35)=1," ",COUNTA(B$14:B35))</f>
        <v xml:space="preserve"> </v>
      </c>
      <c r="B35" s="59"/>
      <c r="C35" s="61" t="s">
        <v>114</v>
      </c>
      <c r="D35" s="59" t="s">
        <v>115</v>
      </c>
      <c r="E35" s="75">
        <f>E32*0.1</f>
        <v>16.72</v>
      </c>
      <c r="F35" s="75"/>
      <c r="G35" s="75"/>
      <c r="H35" s="75"/>
      <c r="I35" s="75"/>
      <c r="J35" s="75"/>
      <c r="K35" s="75"/>
      <c r="L35" s="75"/>
      <c r="M35" s="75"/>
      <c r="N35" s="75"/>
      <c r="O35" s="75"/>
      <c r="P35" s="75"/>
    </row>
    <row r="36" spans="1:16" x14ac:dyDescent="0.2">
      <c r="A36" s="59" t="str">
        <f>IF(COUNTBLANK(B36)=1," ",COUNTA(B$14:B36))</f>
        <v xml:space="preserve"> </v>
      </c>
      <c r="B36" s="59"/>
      <c r="C36" s="62" t="s">
        <v>453</v>
      </c>
      <c r="D36" s="59" t="s">
        <v>107</v>
      </c>
      <c r="E36" s="75">
        <f>E32*0.3</f>
        <v>50.16</v>
      </c>
      <c r="F36" s="75"/>
      <c r="G36" s="75"/>
      <c r="H36" s="75"/>
      <c r="I36" s="75"/>
      <c r="J36" s="75"/>
      <c r="K36" s="75"/>
      <c r="L36" s="75"/>
      <c r="M36" s="75"/>
      <c r="N36" s="75"/>
      <c r="O36" s="75"/>
      <c r="P36" s="75"/>
    </row>
    <row r="37" spans="1:16" x14ac:dyDescent="0.2">
      <c r="A37" s="59" t="str">
        <f>IF(COUNTBLANK(B37)=1," ",COUNTA(B$14:B37))</f>
        <v xml:space="preserve"> </v>
      </c>
      <c r="B37" s="59"/>
      <c r="C37" s="61" t="s">
        <v>169</v>
      </c>
      <c r="D37" s="59" t="s">
        <v>107</v>
      </c>
      <c r="E37" s="75">
        <f>E32*5</f>
        <v>836</v>
      </c>
      <c r="F37" s="75"/>
      <c r="G37" s="75"/>
      <c r="H37" s="75"/>
      <c r="I37" s="75"/>
      <c r="J37" s="75"/>
      <c r="K37" s="75"/>
      <c r="L37" s="75"/>
      <c r="M37" s="75"/>
      <c r="N37" s="75"/>
      <c r="O37" s="75"/>
      <c r="P37" s="75"/>
    </row>
    <row r="38" spans="1:16" ht="22.5" x14ac:dyDescent="0.2">
      <c r="A38" s="59">
        <f>IF(COUNTBLANK(B38)=1," ",COUNTA(B$14:B38))</f>
        <v>10</v>
      </c>
      <c r="B38" s="60" t="s">
        <v>93</v>
      </c>
      <c r="C38" s="61" t="s">
        <v>145</v>
      </c>
      <c r="D38" s="59" t="s">
        <v>100</v>
      </c>
      <c r="E38" s="129">
        <f>228.6*0.375</f>
        <v>85.724999999999994</v>
      </c>
      <c r="F38" s="75"/>
      <c r="G38" s="75"/>
      <c r="H38" s="75"/>
      <c r="I38" s="75"/>
      <c r="J38" s="75"/>
      <c r="K38" s="75"/>
      <c r="L38" s="75"/>
      <c r="M38" s="75"/>
      <c r="N38" s="75"/>
      <c r="O38" s="75"/>
      <c r="P38" s="75"/>
    </row>
    <row r="39" spans="1:16" x14ac:dyDescent="0.2">
      <c r="A39" s="59" t="str">
        <f>IF(COUNTBLANK(B39)=1," ",COUNTA(B$14:B39))</f>
        <v xml:space="preserve"> </v>
      </c>
      <c r="B39" s="59"/>
      <c r="C39" s="61" t="s">
        <v>477</v>
      </c>
      <c r="D39" s="59" t="s">
        <v>107</v>
      </c>
      <c r="E39" s="75">
        <f>E38*5</f>
        <v>428.625</v>
      </c>
      <c r="F39" s="75"/>
      <c r="G39" s="75"/>
      <c r="H39" s="75"/>
      <c r="I39" s="75"/>
      <c r="J39" s="75"/>
      <c r="K39" s="75"/>
      <c r="L39" s="75"/>
      <c r="M39" s="75"/>
      <c r="N39" s="75"/>
      <c r="O39" s="75"/>
      <c r="P39" s="75"/>
    </row>
    <row r="40" spans="1:16" ht="22.5" x14ac:dyDescent="0.2">
      <c r="A40" s="59">
        <f>IF(COUNTBLANK(B40)=1," ",COUNTA(B$14:B40))</f>
        <v>11</v>
      </c>
      <c r="B40" s="133" t="s">
        <v>93</v>
      </c>
      <c r="C40" s="61" t="s">
        <v>252</v>
      </c>
      <c r="D40" s="134" t="s">
        <v>100</v>
      </c>
      <c r="E40" s="182">
        <v>51.9</v>
      </c>
      <c r="F40" s="77"/>
      <c r="G40" s="77"/>
      <c r="H40" s="77"/>
      <c r="I40" s="77"/>
      <c r="J40" s="77"/>
      <c r="K40" s="77"/>
      <c r="L40" s="77"/>
      <c r="M40" s="77"/>
      <c r="N40" s="77"/>
      <c r="O40" s="77"/>
      <c r="P40" s="77"/>
    </row>
    <row r="41" spans="1:16" ht="22.5" x14ac:dyDescent="0.2">
      <c r="A41" s="59" t="str">
        <f>IF(COUNTBLANK(B41)=1," ",COUNTA(B$14:B41))</f>
        <v xml:space="preserve"> </v>
      </c>
      <c r="B41" s="133"/>
      <c r="C41" s="61" t="s">
        <v>253</v>
      </c>
      <c r="D41" s="134" t="s">
        <v>120</v>
      </c>
      <c r="E41" s="183">
        <f>E40*0.11</f>
        <v>5.7089999999999996</v>
      </c>
      <c r="F41" s="77"/>
      <c r="G41" s="77"/>
      <c r="H41" s="77"/>
      <c r="I41" s="77"/>
      <c r="J41" s="77"/>
      <c r="K41" s="77"/>
      <c r="L41" s="77"/>
      <c r="M41" s="77"/>
      <c r="N41" s="77"/>
      <c r="O41" s="77"/>
      <c r="P41" s="77"/>
    </row>
    <row r="42" spans="1:16" x14ac:dyDescent="0.2">
      <c r="A42" s="59" t="str">
        <f>IF(COUNTBLANK(B42)=1," ",COUNTA(B$14:B42))</f>
        <v xml:space="preserve"> </v>
      </c>
      <c r="B42" s="133"/>
      <c r="C42" s="61" t="s">
        <v>254</v>
      </c>
      <c r="D42" s="134" t="s">
        <v>100</v>
      </c>
      <c r="E42" s="183">
        <f>E40*1.1</f>
        <v>57.09</v>
      </c>
      <c r="F42" s="77"/>
      <c r="G42" s="77"/>
      <c r="H42" s="77"/>
      <c r="I42" s="77"/>
      <c r="J42" s="77"/>
      <c r="K42" s="77"/>
      <c r="L42" s="77"/>
      <c r="M42" s="77"/>
      <c r="N42" s="77"/>
      <c r="O42" s="77"/>
      <c r="P42" s="77"/>
    </row>
    <row r="43" spans="1:16" x14ac:dyDescent="0.2">
      <c r="A43" s="59" t="str">
        <f>IF(COUNTBLANK(B43)=1," ",COUNTA(B$14:B43))</f>
        <v xml:space="preserve"> </v>
      </c>
      <c r="B43" s="133"/>
      <c r="C43" s="61" t="s">
        <v>255</v>
      </c>
      <c r="D43" s="134" t="s">
        <v>120</v>
      </c>
      <c r="E43" s="183">
        <f>E40*0.11</f>
        <v>5.7089999999999996</v>
      </c>
      <c r="F43" s="77"/>
      <c r="G43" s="77"/>
      <c r="H43" s="77"/>
      <c r="I43" s="77"/>
      <c r="J43" s="77"/>
      <c r="K43" s="77"/>
      <c r="L43" s="77"/>
      <c r="M43" s="77"/>
      <c r="N43" s="77"/>
      <c r="O43" s="77"/>
      <c r="P43" s="77"/>
    </row>
    <row r="44" spans="1:16" x14ac:dyDescent="0.2">
      <c r="A44" s="59" t="str">
        <f>IF(COUNTBLANK(B44)=1," ",COUNTA(B$14:B44))</f>
        <v xml:space="preserve"> </v>
      </c>
      <c r="B44" s="133"/>
      <c r="C44" s="61" t="s">
        <v>256</v>
      </c>
      <c r="D44" s="134" t="s">
        <v>120</v>
      </c>
      <c r="E44" s="184">
        <f>E40*0.11</f>
        <v>5.7089999999999996</v>
      </c>
      <c r="F44" s="77"/>
      <c r="G44" s="77"/>
      <c r="H44" s="77"/>
      <c r="I44" s="77"/>
      <c r="J44" s="77"/>
      <c r="K44" s="77"/>
      <c r="L44" s="77"/>
      <c r="M44" s="77"/>
      <c r="N44" s="77"/>
      <c r="O44" s="77"/>
      <c r="P44" s="77"/>
    </row>
    <row r="45" spans="1:16" x14ac:dyDescent="0.2">
      <c r="A45" s="59">
        <f>IF(COUNTBLANK(B45)=1," ",COUNTA(B$14:B45))</f>
        <v>12</v>
      </c>
      <c r="B45" s="133" t="s">
        <v>93</v>
      </c>
      <c r="C45" s="61" t="s">
        <v>257</v>
      </c>
      <c r="D45" s="134" t="s">
        <v>100</v>
      </c>
      <c r="E45" s="183">
        <v>110.6</v>
      </c>
      <c r="F45" s="77"/>
      <c r="G45" s="77"/>
      <c r="H45" s="77"/>
      <c r="I45" s="77"/>
      <c r="J45" s="77"/>
      <c r="K45" s="77"/>
      <c r="L45" s="77"/>
      <c r="M45" s="77"/>
      <c r="N45" s="77"/>
      <c r="O45" s="77"/>
      <c r="P45" s="77"/>
    </row>
    <row r="46" spans="1:16" x14ac:dyDescent="0.2">
      <c r="A46" s="59" t="str">
        <f>IF(COUNTBLANK(B46)=1," ",COUNTA(B$14:B46))</f>
        <v xml:space="preserve"> </v>
      </c>
      <c r="B46" s="133"/>
      <c r="C46" s="61" t="s">
        <v>268</v>
      </c>
      <c r="D46" s="134" t="s">
        <v>120</v>
      </c>
      <c r="E46" s="183">
        <f>E45*0.1</f>
        <v>11.06</v>
      </c>
      <c r="F46" s="77"/>
      <c r="G46" s="77"/>
      <c r="H46" s="77"/>
      <c r="I46" s="77"/>
      <c r="J46" s="77"/>
      <c r="K46" s="77"/>
      <c r="L46" s="77"/>
      <c r="M46" s="77"/>
      <c r="N46" s="77"/>
      <c r="O46" s="77"/>
      <c r="P46" s="77"/>
    </row>
    <row r="47" spans="1:16" x14ac:dyDescent="0.2">
      <c r="A47" s="59" t="str">
        <f>IF(COUNTBLANK(B47)=1," ",COUNTA(B$14:B47))</f>
        <v xml:space="preserve"> </v>
      </c>
      <c r="B47" s="133"/>
      <c r="C47" s="61" t="s">
        <v>266</v>
      </c>
      <c r="D47" s="134" t="s">
        <v>120</v>
      </c>
      <c r="E47" s="183">
        <f>E45*0.15</f>
        <v>16.59</v>
      </c>
      <c r="F47" s="59"/>
      <c r="G47" s="59"/>
      <c r="H47" s="59"/>
      <c r="I47" s="59"/>
      <c r="J47" s="59"/>
      <c r="K47" s="75"/>
      <c r="L47" s="75"/>
      <c r="M47" s="75"/>
      <c r="N47" s="75"/>
      <c r="O47" s="75"/>
      <c r="P47" s="75"/>
    </row>
    <row r="48" spans="1:16" x14ac:dyDescent="0.2">
      <c r="A48" s="59" t="str">
        <f>IF(COUNTBLANK(B48)=1," ",COUNTA(B$14:B48))</f>
        <v xml:space="preserve"> </v>
      </c>
      <c r="B48" s="133"/>
      <c r="C48" s="61" t="s">
        <v>267</v>
      </c>
      <c r="D48" s="134" t="s">
        <v>100</v>
      </c>
      <c r="E48" s="183">
        <f>E45*1.05</f>
        <v>116.13</v>
      </c>
      <c r="F48" s="75"/>
      <c r="G48" s="75"/>
      <c r="H48" s="75"/>
      <c r="I48" s="75"/>
      <c r="J48" s="75"/>
      <c r="K48" s="75"/>
      <c r="L48" s="75"/>
      <c r="M48" s="75"/>
      <c r="N48" s="75"/>
      <c r="O48" s="75"/>
      <c r="P48" s="75"/>
    </row>
    <row r="49" spans="1:16" x14ac:dyDescent="0.2">
      <c r="A49" s="59">
        <f>IF(COUNTBLANK(B49)=1," ",COUNTA(B$14:B49))</f>
        <v>13</v>
      </c>
      <c r="B49" s="133" t="s">
        <v>93</v>
      </c>
      <c r="C49" s="61" t="s">
        <v>258</v>
      </c>
      <c r="D49" s="135" t="s">
        <v>95</v>
      </c>
      <c r="E49" s="183">
        <v>98</v>
      </c>
      <c r="F49" s="75"/>
      <c r="G49" s="75"/>
      <c r="H49" s="75"/>
      <c r="I49" s="75"/>
      <c r="J49" s="75"/>
      <c r="K49" s="75"/>
      <c r="L49" s="75"/>
      <c r="M49" s="75"/>
      <c r="N49" s="75"/>
      <c r="O49" s="75"/>
      <c r="P49" s="75"/>
    </row>
    <row r="50" spans="1:16" x14ac:dyDescent="0.2">
      <c r="A50" s="243" t="str">
        <f t="shared" ref="A50:A58" si="0">IF(COUNTBLANK(B50)=1," ",COUNTA($B$12:B50))</f>
        <v xml:space="preserve"> </v>
      </c>
      <c r="B50" s="133"/>
      <c r="C50" s="61" t="s">
        <v>264</v>
      </c>
      <c r="D50" s="135" t="s">
        <v>97</v>
      </c>
      <c r="E50" s="183">
        <f>ROUNDUP(E49*1.1,0)</f>
        <v>108</v>
      </c>
      <c r="F50" s="75"/>
      <c r="G50" s="75"/>
      <c r="H50" s="75"/>
      <c r="I50" s="75"/>
      <c r="J50" s="75"/>
      <c r="K50" s="75"/>
      <c r="L50" s="75"/>
      <c r="M50" s="75"/>
      <c r="N50" s="75"/>
      <c r="O50" s="75"/>
      <c r="P50" s="75"/>
    </row>
    <row r="51" spans="1:16" x14ac:dyDescent="0.2">
      <c r="A51" s="243" t="str">
        <f t="shared" si="0"/>
        <v xml:space="preserve"> </v>
      </c>
      <c r="B51" s="133"/>
      <c r="C51" s="61" t="s">
        <v>265</v>
      </c>
      <c r="D51" s="134" t="s">
        <v>120</v>
      </c>
      <c r="E51" s="185">
        <f>E49*0.05</f>
        <v>4.9000000000000004</v>
      </c>
      <c r="F51" s="75"/>
      <c r="G51" s="75"/>
      <c r="H51" s="75"/>
      <c r="I51" s="75"/>
      <c r="J51" s="75"/>
      <c r="K51" s="75"/>
      <c r="L51" s="75"/>
      <c r="M51" s="75"/>
      <c r="N51" s="75"/>
      <c r="O51" s="75"/>
      <c r="P51" s="75"/>
    </row>
    <row r="52" spans="1:16" x14ac:dyDescent="0.2">
      <c r="A52" s="243">
        <f t="shared" si="0"/>
        <v>15</v>
      </c>
      <c r="B52" s="244" t="s">
        <v>93</v>
      </c>
      <c r="C52" s="61" t="s">
        <v>269</v>
      </c>
      <c r="D52" s="245"/>
      <c r="E52" s="186"/>
      <c r="F52" s="75"/>
      <c r="G52" s="75"/>
      <c r="H52" s="75"/>
      <c r="I52" s="75"/>
      <c r="J52" s="75"/>
      <c r="K52" s="75"/>
      <c r="L52" s="75"/>
      <c r="M52" s="75"/>
      <c r="N52" s="75"/>
      <c r="O52" s="75"/>
      <c r="P52" s="75"/>
    </row>
    <row r="53" spans="1:16" ht="22.5" x14ac:dyDescent="0.2">
      <c r="A53" s="243" t="str">
        <f t="shared" si="0"/>
        <v xml:space="preserve"> </v>
      </c>
      <c r="B53" s="167"/>
      <c r="C53" s="61" t="s">
        <v>259</v>
      </c>
      <c r="D53" s="246" t="s">
        <v>120</v>
      </c>
      <c r="E53" s="187">
        <f>12*0.75*0.25</f>
        <v>2.25</v>
      </c>
      <c r="F53" s="75"/>
      <c r="G53" s="75"/>
      <c r="H53" s="75"/>
      <c r="I53" s="75"/>
      <c r="J53" s="75"/>
      <c r="K53" s="75"/>
      <c r="L53" s="75"/>
      <c r="M53" s="75"/>
      <c r="N53" s="75"/>
      <c r="O53" s="75"/>
      <c r="P53" s="75"/>
    </row>
    <row r="54" spans="1:16" x14ac:dyDescent="0.2">
      <c r="A54" s="243" t="str">
        <f t="shared" si="0"/>
        <v xml:space="preserve"> </v>
      </c>
      <c r="B54" s="117"/>
      <c r="C54" s="61" t="s">
        <v>260</v>
      </c>
      <c r="D54" s="117" t="s">
        <v>120</v>
      </c>
      <c r="E54" s="77">
        <f>E53*25</f>
        <v>56.25</v>
      </c>
      <c r="F54" s="75"/>
      <c r="G54" s="75"/>
      <c r="H54" s="75"/>
      <c r="I54" s="75"/>
      <c r="J54" s="75"/>
      <c r="K54" s="75"/>
      <c r="L54" s="75"/>
      <c r="M54" s="75"/>
      <c r="N54" s="75"/>
      <c r="O54" s="75"/>
      <c r="P54" s="75"/>
    </row>
    <row r="55" spans="1:16" x14ac:dyDescent="0.2">
      <c r="A55" s="243" t="str">
        <f t="shared" si="0"/>
        <v xml:space="preserve"> </v>
      </c>
      <c r="B55" s="117"/>
      <c r="C55" s="61" t="s">
        <v>114</v>
      </c>
      <c r="D55" s="117" t="s">
        <v>146</v>
      </c>
      <c r="E55" s="77">
        <f>E53*0.06</f>
        <v>0.13500000000000001</v>
      </c>
      <c r="F55" s="75"/>
      <c r="G55" s="75"/>
      <c r="H55" s="75"/>
      <c r="I55" s="75"/>
      <c r="J55" s="75"/>
      <c r="K55" s="75"/>
      <c r="L55" s="75"/>
      <c r="M55" s="75"/>
      <c r="N55" s="75"/>
      <c r="O55" s="75"/>
      <c r="P55" s="75"/>
    </row>
    <row r="56" spans="1:16" x14ac:dyDescent="0.2">
      <c r="A56" s="243" t="str">
        <f t="shared" si="0"/>
        <v xml:space="preserve"> </v>
      </c>
      <c r="B56" s="117"/>
      <c r="C56" s="61" t="s">
        <v>261</v>
      </c>
      <c r="D56" s="117" t="s">
        <v>97</v>
      </c>
      <c r="E56" s="77">
        <f>E53*300</f>
        <v>675</v>
      </c>
      <c r="F56" s="75"/>
      <c r="G56" s="75"/>
      <c r="H56" s="75"/>
      <c r="I56" s="75"/>
      <c r="J56" s="75"/>
      <c r="K56" s="75"/>
      <c r="L56" s="75"/>
      <c r="M56" s="75"/>
      <c r="N56" s="75"/>
      <c r="O56" s="75"/>
      <c r="P56" s="75"/>
    </row>
    <row r="57" spans="1:16" x14ac:dyDescent="0.2">
      <c r="A57" s="243">
        <f t="shared" si="0"/>
        <v>16</v>
      </c>
      <c r="B57" s="133" t="s">
        <v>93</v>
      </c>
      <c r="C57" s="61" t="s">
        <v>262</v>
      </c>
      <c r="D57" s="246" t="s">
        <v>120</v>
      </c>
      <c r="E57" s="187">
        <v>9.5</v>
      </c>
      <c r="F57" s="75"/>
      <c r="G57" s="75"/>
      <c r="H57" s="75"/>
      <c r="I57" s="75"/>
      <c r="J57" s="75"/>
      <c r="K57" s="75"/>
      <c r="L57" s="75"/>
      <c r="M57" s="75"/>
      <c r="N57" s="75"/>
      <c r="O57" s="75"/>
      <c r="P57" s="75"/>
    </row>
    <row r="58" spans="1:16" ht="12" thickBot="1" x14ac:dyDescent="0.25">
      <c r="A58" s="243">
        <f t="shared" si="0"/>
        <v>17</v>
      </c>
      <c r="B58" s="133" t="s">
        <v>93</v>
      </c>
      <c r="C58" s="61" t="s">
        <v>263</v>
      </c>
      <c r="D58" s="246" t="s">
        <v>120</v>
      </c>
      <c r="E58" s="183">
        <v>3.2</v>
      </c>
      <c r="F58" s="75"/>
      <c r="G58" s="75"/>
      <c r="H58" s="75"/>
      <c r="I58" s="75"/>
      <c r="J58" s="75"/>
      <c r="K58" s="75"/>
      <c r="L58" s="75"/>
      <c r="M58" s="75"/>
      <c r="N58" s="75"/>
      <c r="O58" s="75"/>
      <c r="P58" s="75"/>
    </row>
    <row r="59" spans="1:16" ht="12" thickBot="1" x14ac:dyDescent="0.25">
      <c r="A59" s="370" t="s">
        <v>545</v>
      </c>
      <c r="B59" s="371"/>
      <c r="C59" s="371"/>
      <c r="D59" s="371"/>
      <c r="E59" s="371"/>
      <c r="F59" s="371"/>
      <c r="G59" s="371"/>
      <c r="H59" s="371"/>
      <c r="I59" s="371"/>
      <c r="J59" s="371"/>
      <c r="K59" s="372"/>
      <c r="L59" s="240">
        <f>SUM(L14:L58)</f>
        <v>0</v>
      </c>
      <c r="M59" s="241">
        <f>SUM(M14:M58)</f>
        <v>0</v>
      </c>
      <c r="N59" s="241">
        <f>SUM(N14:N58)</f>
        <v>0</v>
      </c>
      <c r="O59" s="241">
        <f>SUM(O14:O58)</f>
        <v>0</v>
      </c>
      <c r="P59" s="242">
        <f>SUM(P14:P58)</f>
        <v>0</v>
      </c>
    </row>
    <row r="60" spans="1:16" x14ac:dyDescent="0.2">
      <c r="A60" s="173"/>
      <c r="B60" s="173"/>
      <c r="C60" s="173"/>
      <c r="D60" s="173"/>
      <c r="E60" s="173"/>
      <c r="F60" s="173"/>
      <c r="G60" s="173"/>
      <c r="H60" s="173"/>
      <c r="I60" s="173"/>
      <c r="J60" s="173"/>
      <c r="K60" s="173"/>
      <c r="L60" s="173"/>
      <c r="M60" s="173"/>
      <c r="N60" s="173"/>
      <c r="O60" s="173"/>
      <c r="P60" s="173"/>
    </row>
    <row r="61" spans="1:16" x14ac:dyDescent="0.2">
      <c r="A61" s="173"/>
      <c r="B61" s="173"/>
      <c r="C61" s="173"/>
      <c r="D61" s="173"/>
      <c r="E61" s="173"/>
      <c r="F61" s="173"/>
      <c r="G61" s="173"/>
      <c r="H61" s="173"/>
      <c r="I61" s="173"/>
      <c r="J61" s="173"/>
      <c r="K61" s="173"/>
      <c r="L61" s="173"/>
      <c r="M61" s="173"/>
      <c r="N61" s="173"/>
      <c r="O61" s="173"/>
      <c r="P61" s="173"/>
    </row>
    <row r="62" spans="1:16" x14ac:dyDescent="0.2">
      <c r="A62" s="174" t="s">
        <v>14</v>
      </c>
      <c r="B62" s="173"/>
      <c r="C62" s="358">
        <f>'Kops a'!C34:H34</f>
        <v>0</v>
      </c>
      <c r="D62" s="358"/>
      <c r="E62" s="358"/>
      <c r="F62" s="358"/>
      <c r="G62" s="358"/>
      <c r="H62" s="358"/>
      <c r="I62" s="173"/>
      <c r="J62" s="173"/>
      <c r="K62" s="173"/>
      <c r="L62" s="173"/>
      <c r="M62" s="173"/>
      <c r="N62" s="173"/>
      <c r="O62" s="173"/>
      <c r="P62" s="173"/>
    </row>
    <row r="63" spans="1:16" x14ac:dyDescent="0.2">
      <c r="A63" s="173"/>
      <c r="B63" s="173"/>
      <c r="C63" s="359" t="s">
        <v>15</v>
      </c>
      <c r="D63" s="359"/>
      <c r="E63" s="359"/>
      <c r="F63" s="359"/>
      <c r="G63" s="359"/>
      <c r="H63" s="359"/>
      <c r="I63" s="173"/>
      <c r="J63" s="173"/>
      <c r="K63" s="173"/>
      <c r="L63" s="173"/>
      <c r="M63" s="173"/>
      <c r="N63" s="173"/>
      <c r="O63" s="173"/>
      <c r="P63" s="173"/>
    </row>
    <row r="64" spans="1:16" x14ac:dyDescent="0.2">
      <c r="A64" s="173"/>
      <c r="B64" s="173"/>
      <c r="C64" s="173"/>
      <c r="D64" s="173"/>
      <c r="E64" s="173"/>
      <c r="F64" s="173"/>
      <c r="G64" s="173"/>
      <c r="H64" s="173"/>
      <c r="I64" s="173"/>
      <c r="J64" s="173"/>
      <c r="K64" s="173"/>
      <c r="L64" s="173"/>
      <c r="M64" s="173"/>
      <c r="N64" s="173"/>
      <c r="O64" s="173"/>
      <c r="P64" s="173"/>
    </row>
    <row r="65" spans="1:16" x14ac:dyDescent="0.2">
      <c r="A65" s="227" t="str">
        <f>'Kops a'!A37</f>
        <v>Tāme sastādīta 2021. gada</v>
      </c>
      <c r="B65" s="228"/>
      <c r="C65" s="228"/>
      <c r="D65" s="228"/>
      <c r="E65" s="173"/>
      <c r="F65" s="173"/>
      <c r="G65" s="173"/>
      <c r="H65" s="173"/>
      <c r="I65" s="173"/>
      <c r="J65" s="173"/>
      <c r="K65" s="173"/>
      <c r="L65" s="173"/>
      <c r="M65" s="173"/>
      <c r="N65" s="173"/>
      <c r="O65" s="173"/>
      <c r="P65" s="173"/>
    </row>
    <row r="66" spans="1:16" x14ac:dyDescent="0.2">
      <c r="A66" s="173"/>
      <c r="B66" s="173"/>
      <c r="C66" s="173"/>
      <c r="D66" s="173"/>
      <c r="E66" s="173"/>
      <c r="F66" s="173"/>
      <c r="G66" s="173"/>
      <c r="H66" s="173"/>
      <c r="I66" s="173"/>
      <c r="J66" s="173"/>
      <c r="K66" s="173"/>
      <c r="L66" s="173"/>
      <c r="M66" s="173"/>
      <c r="N66" s="173"/>
      <c r="O66" s="173"/>
      <c r="P66" s="173"/>
    </row>
    <row r="67" spans="1:16" x14ac:dyDescent="0.2">
      <c r="A67" s="174" t="s">
        <v>37</v>
      </c>
      <c r="B67" s="173"/>
      <c r="C67" s="358">
        <f>'Kops a'!C39:H39</f>
        <v>0</v>
      </c>
      <c r="D67" s="358"/>
      <c r="E67" s="358"/>
      <c r="F67" s="358"/>
      <c r="G67" s="358"/>
      <c r="H67" s="358"/>
      <c r="I67" s="173"/>
      <c r="J67" s="173"/>
      <c r="K67" s="173"/>
      <c r="L67" s="173"/>
      <c r="M67" s="173"/>
      <c r="N67" s="173"/>
      <c r="O67" s="173"/>
      <c r="P67" s="173"/>
    </row>
    <row r="68" spans="1:16" x14ac:dyDescent="0.2">
      <c r="A68" s="173"/>
      <c r="B68" s="173"/>
      <c r="C68" s="359" t="s">
        <v>15</v>
      </c>
      <c r="D68" s="359"/>
      <c r="E68" s="359"/>
      <c r="F68" s="359"/>
      <c r="G68" s="359"/>
      <c r="H68" s="359"/>
      <c r="I68" s="173"/>
      <c r="J68" s="173"/>
      <c r="K68" s="173"/>
      <c r="L68" s="173"/>
      <c r="M68" s="173"/>
      <c r="N68" s="173"/>
      <c r="O68" s="173"/>
      <c r="P68" s="173"/>
    </row>
    <row r="69" spans="1:16" x14ac:dyDescent="0.2">
      <c r="A69" s="173"/>
      <c r="B69" s="173"/>
      <c r="C69" s="173"/>
      <c r="D69" s="173"/>
      <c r="E69" s="173"/>
      <c r="F69" s="173"/>
      <c r="G69" s="173"/>
      <c r="H69" s="173"/>
      <c r="I69" s="173"/>
      <c r="J69" s="173"/>
      <c r="K69" s="173"/>
      <c r="L69" s="173"/>
      <c r="M69" s="173"/>
      <c r="N69" s="173"/>
      <c r="O69" s="173"/>
      <c r="P69" s="173"/>
    </row>
    <row r="70" spans="1:16" x14ac:dyDescent="0.2">
      <c r="A70" s="227" t="s">
        <v>54</v>
      </c>
      <c r="B70" s="228"/>
      <c r="C70" s="229">
        <f>'Kops a'!C42</f>
        <v>0</v>
      </c>
      <c r="D70" s="230"/>
      <c r="E70" s="173"/>
      <c r="F70" s="173"/>
      <c r="G70" s="173"/>
      <c r="H70" s="173"/>
      <c r="I70" s="173"/>
      <c r="J70" s="173"/>
      <c r="K70" s="173"/>
      <c r="L70" s="173"/>
      <c r="M70" s="173"/>
      <c r="N70" s="173"/>
      <c r="O70" s="173"/>
      <c r="P70" s="173"/>
    </row>
    <row r="71" spans="1:16" x14ac:dyDescent="0.2">
      <c r="A71" s="173"/>
      <c r="B71" s="173"/>
      <c r="C71" s="173"/>
      <c r="D71" s="173"/>
      <c r="E71" s="173"/>
      <c r="F71" s="173"/>
      <c r="G71" s="173"/>
      <c r="H71" s="173"/>
      <c r="I71" s="173"/>
      <c r="J71" s="173"/>
      <c r="K71" s="173"/>
      <c r="L71" s="173"/>
      <c r="M71" s="173"/>
      <c r="N71" s="173"/>
      <c r="O71" s="173"/>
      <c r="P71" s="173"/>
    </row>
    <row r="72" spans="1:16" x14ac:dyDescent="0.2">
      <c r="A72" s="231" t="s">
        <v>63</v>
      </c>
      <c r="B72" s="173"/>
      <c r="E72" s="167"/>
      <c r="F72" s="232"/>
      <c r="G72" s="167"/>
      <c r="H72" s="233"/>
      <c r="I72" s="233"/>
      <c r="J72" s="234"/>
      <c r="K72" s="235"/>
      <c r="L72" s="235"/>
      <c r="M72" s="235"/>
      <c r="N72" s="235"/>
      <c r="O72" s="235"/>
    </row>
    <row r="73" spans="1:16" x14ac:dyDescent="0.2">
      <c r="A73" s="357" t="s">
        <v>64</v>
      </c>
      <c r="B73" s="357"/>
      <c r="C73" s="357"/>
      <c r="D73" s="357"/>
      <c r="E73" s="357"/>
      <c r="F73" s="357"/>
      <c r="G73" s="357"/>
      <c r="H73" s="357"/>
      <c r="I73" s="357"/>
      <c r="J73" s="357"/>
      <c r="K73" s="357"/>
      <c r="L73" s="357"/>
      <c r="M73" s="357"/>
      <c r="N73" s="357"/>
      <c r="O73" s="357"/>
    </row>
    <row r="74" spans="1:16" x14ac:dyDescent="0.2">
      <c r="A74" s="357" t="s">
        <v>65</v>
      </c>
      <c r="B74" s="357"/>
      <c r="C74" s="357"/>
      <c r="D74" s="357"/>
      <c r="E74" s="357"/>
      <c r="F74" s="357"/>
      <c r="G74" s="357"/>
      <c r="H74" s="357"/>
      <c r="I74" s="357"/>
      <c r="J74" s="357"/>
      <c r="K74" s="357"/>
      <c r="L74" s="357"/>
      <c r="M74" s="357"/>
      <c r="N74" s="357"/>
      <c r="O74" s="357"/>
    </row>
  </sheetData>
  <mergeCells count="24">
    <mergeCell ref="C68:H68"/>
    <mergeCell ref="D8:L8"/>
    <mergeCell ref="A59:K59"/>
    <mergeCell ref="A74:O74"/>
    <mergeCell ref="N9:O9"/>
    <mergeCell ref="A12:A13"/>
    <mergeCell ref="B12:B13"/>
    <mergeCell ref="C12:C13"/>
    <mergeCell ref="D12:D13"/>
    <mergeCell ref="E12:E13"/>
    <mergeCell ref="L12:P12"/>
    <mergeCell ref="C62:H62"/>
    <mergeCell ref="C63:H63"/>
    <mergeCell ref="A73:O73"/>
    <mergeCell ref="F12:K12"/>
    <mergeCell ref="A9:F9"/>
    <mergeCell ref="J9:M9"/>
    <mergeCell ref="C67:H67"/>
    <mergeCell ref="C2:I2"/>
    <mergeCell ref="C3:I3"/>
    <mergeCell ref="D5:L5"/>
    <mergeCell ref="D6:L6"/>
    <mergeCell ref="D7:L7"/>
    <mergeCell ref="C4:I4"/>
  </mergeCells>
  <conditionalFormatting sqref="D15:G31 A15:B31 A38:B38 D38:G39 B39 A39:A49 F40:G58">
    <cfRule type="cellIs" dxfId="135" priority="32" operator="equal">
      <formula>0</formula>
    </cfRule>
  </conditionalFormatting>
  <conditionalFormatting sqref="N9:O9">
    <cfRule type="cellIs" dxfId="134" priority="31" operator="equal">
      <formula>0</formula>
    </cfRule>
  </conditionalFormatting>
  <conditionalFormatting sqref="A9:F9">
    <cfRule type="containsText" dxfId="133" priority="29"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32" priority="28" operator="equal">
      <formula>0</formula>
    </cfRule>
  </conditionalFormatting>
  <conditionalFormatting sqref="O10">
    <cfRule type="cellIs" dxfId="131" priority="27" operator="equal">
      <formula>"20__. gada __. _________"</formula>
    </cfRule>
  </conditionalFormatting>
  <conditionalFormatting sqref="A59:K59">
    <cfRule type="containsText" dxfId="130" priority="26" operator="containsText" text="Tiešās izmaksas kopā, t. sk. darba devēja sociālais nodoklis __.__% ">
      <formula>NOT(ISERROR(SEARCH("Tiešās izmaksas kopā, t. sk. darba devēja sociālais nodoklis __.__% ",A59)))</formula>
    </cfRule>
  </conditionalFormatting>
  <conditionalFormatting sqref="L59:P59 H14:H31 K14:P31 K38:P58 H38:H58">
    <cfRule type="cellIs" dxfId="129" priority="21" operator="equal">
      <formula>0</formula>
    </cfRule>
  </conditionalFormatting>
  <conditionalFormatting sqref="C4:I4">
    <cfRule type="cellIs" dxfId="128" priority="20" operator="equal">
      <formula>0</formula>
    </cfRule>
  </conditionalFormatting>
  <conditionalFormatting sqref="C15:C20 C38:C39 C22:C31">
    <cfRule type="cellIs" dxfId="127" priority="19" operator="equal">
      <formula>0</formula>
    </cfRule>
  </conditionalFormatting>
  <conditionalFormatting sqref="D5:L8">
    <cfRule type="cellIs" dxfId="126" priority="17" operator="equal">
      <formula>0</formula>
    </cfRule>
  </conditionalFormatting>
  <conditionalFormatting sqref="A14:B14 D14:G14">
    <cfRule type="cellIs" dxfId="125" priority="16" operator="equal">
      <formula>0</formula>
    </cfRule>
  </conditionalFormatting>
  <conditionalFormatting sqref="C14">
    <cfRule type="cellIs" dxfId="124" priority="15" operator="equal">
      <formula>0</formula>
    </cfRule>
  </conditionalFormatting>
  <conditionalFormatting sqref="I14:J31 I38:J58">
    <cfRule type="cellIs" dxfId="123" priority="14" operator="equal">
      <formula>0</formula>
    </cfRule>
  </conditionalFormatting>
  <conditionalFormatting sqref="P10">
    <cfRule type="cellIs" dxfId="122" priority="13" operator="equal">
      <formula>"20__. gada __. _________"</formula>
    </cfRule>
  </conditionalFormatting>
  <conditionalFormatting sqref="C67:H67">
    <cfRule type="cellIs" dxfId="121" priority="10" operator="equal">
      <formula>0</formula>
    </cfRule>
  </conditionalFormatting>
  <conditionalFormatting sqref="C62:H62">
    <cfRule type="cellIs" dxfId="120" priority="9" operator="equal">
      <formula>0</formula>
    </cfRule>
  </conditionalFormatting>
  <conditionalFormatting sqref="C67:H67 C70 C62:H62">
    <cfRule type="cellIs" dxfId="119" priority="8" operator="equal">
      <formula>0</formula>
    </cfRule>
  </conditionalFormatting>
  <conditionalFormatting sqref="D1">
    <cfRule type="cellIs" dxfId="118" priority="7" operator="equal">
      <formula>0</formula>
    </cfRule>
  </conditionalFormatting>
  <conditionalFormatting sqref="D32:G37 A32:B37">
    <cfRule type="cellIs" dxfId="117" priority="6" operator="equal">
      <formula>0</formula>
    </cfRule>
  </conditionalFormatting>
  <conditionalFormatting sqref="H32:H37 K32:P37">
    <cfRule type="cellIs" dxfId="116" priority="5" operator="equal">
      <formula>0</formula>
    </cfRule>
  </conditionalFormatting>
  <conditionalFormatting sqref="C32:C37">
    <cfRule type="cellIs" dxfId="115" priority="4" operator="equal">
      <formula>0</formula>
    </cfRule>
  </conditionalFormatting>
  <conditionalFormatting sqref="I32:J37">
    <cfRule type="cellIs" dxfId="114" priority="3" operator="equal">
      <formula>0</formula>
    </cfRule>
  </conditionalFormatting>
  <conditionalFormatting sqref="C40:C58">
    <cfRule type="cellIs" dxfId="113" priority="2" operator="equal">
      <formula>0</formula>
    </cfRule>
  </conditionalFormatting>
  <conditionalFormatting sqref="C21">
    <cfRule type="cellIs" dxfId="112" priority="1" operator="equal">
      <formula>0</formula>
    </cfRule>
  </conditionalFormatting>
  <pageMargins left="0.7" right="0.7" top="0.75" bottom="0.75" header="0.3" footer="0.3"/>
  <pageSetup paperSize="9" scale="93" fitToHeight="0" orientation="landscape" r:id="rId1"/>
  <headerFooter>
    <oddFooter>&amp;R&amp;P</oddFooter>
  </headerFooter>
  <rowBreaks count="2" manualBreakCount="2">
    <brk id="31" max="16383" man="1"/>
    <brk id="57" max="16383" man="1"/>
  </rowBreaks>
  <legacyDrawing r:id="rId2"/>
  <extLst>
    <ext xmlns:x14="http://schemas.microsoft.com/office/spreadsheetml/2009/9/main" uri="{78C0D931-6437-407d-A8EE-F0AAD7539E65}">
      <x14:conditionalFormattings>
        <x14:conditionalFormatting xmlns:xm="http://schemas.microsoft.com/office/excel/2006/main">
          <x14:cfRule type="containsText" priority="12" operator="containsText" id="{0B610FE1-6F17-46AF-982B-27B20E80701D}">
            <xm:f>NOT(ISERROR(SEARCH("Tāme sastādīta ____. gada ___. ______________",A65)))</xm:f>
            <xm:f>"Tāme sastādīta ____. gada ___. ______________"</xm:f>
            <x14:dxf>
              <font>
                <color auto="1"/>
              </font>
              <fill>
                <patternFill>
                  <bgColor rgb="FFC6EFCE"/>
                </patternFill>
              </fill>
            </x14:dxf>
          </x14:cfRule>
          <xm:sqref>A65</xm:sqref>
        </x14:conditionalFormatting>
        <x14:conditionalFormatting xmlns:xm="http://schemas.microsoft.com/office/excel/2006/main">
          <x14:cfRule type="containsText" priority="11" operator="containsText" id="{F3EAEDA8-031E-4BF8-B71A-4A6D64C3BFEB}">
            <xm:f>NOT(ISERROR(SEARCH("Sertifikāta Nr. _________________________________",A70)))</xm:f>
            <xm:f>"Sertifikāta Nr. _________________________________"</xm:f>
            <x14:dxf>
              <font>
                <color auto="1"/>
              </font>
              <fill>
                <patternFill>
                  <bgColor rgb="FFC6EFCE"/>
                </patternFill>
              </fill>
            </x14:dxf>
          </x14:cfRule>
          <xm:sqref>A70</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rgb="FFFF5757"/>
    <pageSetUpPr fitToPage="1"/>
  </sheetPr>
  <dimension ref="A1:Q45"/>
  <sheetViews>
    <sheetView view="pageBreakPreview" topLeftCell="A19" zoomScale="130" zoomScaleNormal="100" zoomScaleSheetLayoutView="130" workbookViewId="0">
      <selection activeCell="A10" sqref="A10"/>
    </sheetView>
  </sheetViews>
  <sheetFormatPr defaultColWidth="9.140625" defaultRowHeight="11.25" x14ac:dyDescent="0.2"/>
  <cols>
    <col min="1" max="1" width="4.5703125" style="174" customWidth="1"/>
    <col min="2" max="2" width="5.28515625" style="174" customWidth="1"/>
    <col min="3" max="3" width="38.42578125" style="174" customWidth="1"/>
    <col min="4" max="4" width="5.85546875" style="174" customWidth="1"/>
    <col min="5" max="5" width="8.7109375" style="174" customWidth="1"/>
    <col min="6" max="6" width="5.42578125" style="174" customWidth="1"/>
    <col min="7" max="7" width="5.28515625" style="174" customWidth="1"/>
    <col min="8" max="10" width="6.7109375" style="174" customWidth="1"/>
    <col min="11" max="11" width="7" style="174" customWidth="1"/>
    <col min="12" max="15" width="7.7109375" style="174" customWidth="1"/>
    <col min="16" max="16" width="9" style="174" customWidth="1"/>
    <col min="17" max="16384" width="9.140625" style="174"/>
  </cols>
  <sheetData>
    <row r="1" spans="1:16" x14ac:dyDescent="0.2">
      <c r="A1" s="167"/>
      <c r="B1" s="167"/>
      <c r="C1" s="194" t="s">
        <v>38</v>
      </c>
      <c r="D1" s="195">
        <f>'Kops a'!A19</f>
        <v>5</v>
      </c>
      <c r="E1" s="167"/>
      <c r="F1" s="167"/>
      <c r="G1" s="167"/>
      <c r="H1" s="167"/>
      <c r="I1" s="167"/>
      <c r="J1" s="167"/>
      <c r="N1" s="196"/>
      <c r="O1" s="194"/>
      <c r="P1" s="197"/>
    </row>
    <row r="2" spans="1:16" x14ac:dyDescent="0.2">
      <c r="A2" s="198"/>
      <c r="B2" s="198"/>
      <c r="C2" s="338" t="s">
        <v>282</v>
      </c>
      <c r="D2" s="338"/>
      <c r="E2" s="338"/>
      <c r="F2" s="338"/>
      <c r="G2" s="338"/>
      <c r="H2" s="338"/>
      <c r="I2" s="338"/>
      <c r="J2" s="198"/>
    </row>
    <row r="3" spans="1:16" x14ac:dyDescent="0.2">
      <c r="A3" s="199"/>
      <c r="B3" s="199"/>
      <c r="C3" s="339" t="s">
        <v>17</v>
      </c>
      <c r="D3" s="339"/>
      <c r="E3" s="339"/>
      <c r="F3" s="339"/>
      <c r="G3" s="339"/>
      <c r="H3" s="339"/>
      <c r="I3" s="339"/>
      <c r="J3" s="199"/>
    </row>
    <row r="4" spans="1:16" x14ac:dyDescent="0.2">
      <c r="A4" s="199"/>
      <c r="B4" s="199"/>
      <c r="C4" s="340" t="s">
        <v>52</v>
      </c>
      <c r="D4" s="340"/>
      <c r="E4" s="340"/>
      <c r="F4" s="340"/>
      <c r="G4" s="340"/>
      <c r="H4" s="340"/>
      <c r="I4" s="340"/>
      <c r="J4" s="199"/>
    </row>
    <row r="5" spans="1:16" x14ac:dyDescent="0.2">
      <c r="A5" s="167"/>
      <c r="B5" s="167"/>
      <c r="C5" s="194" t="s">
        <v>5</v>
      </c>
      <c r="D5" s="354" t="str">
        <f>'Kops a'!D6</f>
        <v>Dzīvojamās ēkas vienkāršotā atjaunošana</v>
      </c>
      <c r="E5" s="354"/>
      <c r="F5" s="354"/>
      <c r="G5" s="354"/>
      <c r="H5" s="354"/>
      <c r="I5" s="354"/>
      <c r="J5" s="354"/>
      <c r="K5" s="354"/>
      <c r="L5" s="354"/>
      <c r="M5" s="173"/>
      <c r="N5" s="173"/>
      <c r="O5" s="173"/>
      <c r="P5" s="173"/>
    </row>
    <row r="6" spans="1:16" x14ac:dyDescent="0.2">
      <c r="A6" s="167"/>
      <c r="B6" s="167"/>
      <c r="C6" s="194" t="s">
        <v>6</v>
      </c>
      <c r="D6" s="354" t="str">
        <f>'Kops a'!D7</f>
        <v>Daudzdzīvokļu dzīvojamās ēkas energoefektivitātes paaugstināšanas pasākumi</v>
      </c>
      <c r="E6" s="354"/>
      <c r="F6" s="354"/>
      <c r="G6" s="354"/>
      <c r="H6" s="354"/>
      <c r="I6" s="354"/>
      <c r="J6" s="354"/>
      <c r="K6" s="354"/>
      <c r="L6" s="354"/>
      <c r="M6" s="173"/>
      <c r="N6" s="173"/>
      <c r="O6" s="173"/>
      <c r="P6" s="173"/>
    </row>
    <row r="7" spans="1:16" x14ac:dyDescent="0.2">
      <c r="A7" s="167"/>
      <c r="B7" s="167"/>
      <c r="C7" s="194" t="s">
        <v>7</v>
      </c>
      <c r="D7" s="354" t="str">
        <f>'Kops a'!D8</f>
        <v>Dzērves iela 23, Liepāja</v>
      </c>
      <c r="E7" s="354"/>
      <c r="F7" s="354"/>
      <c r="G7" s="354"/>
      <c r="H7" s="354"/>
      <c r="I7" s="354"/>
      <c r="J7" s="354"/>
      <c r="K7" s="354"/>
      <c r="L7" s="354"/>
      <c r="M7" s="173"/>
      <c r="N7" s="173"/>
      <c r="O7" s="173"/>
      <c r="P7" s="173"/>
    </row>
    <row r="8" spans="1:16" x14ac:dyDescent="0.2">
      <c r="A8" s="167"/>
      <c r="B8" s="167"/>
      <c r="C8" s="200" t="s">
        <v>20</v>
      </c>
      <c r="D8" s="354" t="str">
        <f>'Kops a'!D9</f>
        <v>EA-14-17/WOOS</v>
      </c>
      <c r="E8" s="354"/>
      <c r="F8" s="354"/>
      <c r="G8" s="354"/>
      <c r="H8" s="354"/>
      <c r="I8" s="354"/>
      <c r="J8" s="354"/>
      <c r="K8" s="354"/>
      <c r="L8" s="354"/>
      <c r="M8" s="173"/>
      <c r="N8" s="173"/>
      <c r="O8" s="173"/>
      <c r="P8" s="173"/>
    </row>
    <row r="9" spans="1:16" x14ac:dyDescent="0.2">
      <c r="A9" s="341" t="s">
        <v>556</v>
      </c>
      <c r="B9" s="341"/>
      <c r="C9" s="341"/>
      <c r="D9" s="341"/>
      <c r="E9" s="341"/>
      <c r="F9" s="341"/>
      <c r="G9" s="175"/>
      <c r="H9" s="175"/>
      <c r="I9" s="175"/>
      <c r="J9" s="345" t="s">
        <v>39</v>
      </c>
      <c r="K9" s="345"/>
      <c r="L9" s="345"/>
      <c r="M9" s="345"/>
      <c r="N9" s="353">
        <f>P30</f>
        <v>0</v>
      </c>
      <c r="O9" s="353"/>
      <c r="P9" s="175"/>
    </row>
    <row r="10" spans="1:16" x14ac:dyDescent="0.2">
      <c r="A10" s="201"/>
      <c r="B10" s="202"/>
      <c r="C10" s="200"/>
      <c r="D10" s="167"/>
      <c r="E10" s="167"/>
      <c r="F10" s="167"/>
      <c r="G10" s="167"/>
      <c r="H10" s="167"/>
      <c r="I10" s="167"/>
      <c r="J10" s="167"/>
      <c r="K10" s="167"/>
      <c r="L10" s="198"/>
      <c r="M10" s="198"/>
      <c r="O10" s="237"/>
      <c r="P10" s="204" t="str">
        <f>A36</f>
        <v>Tāme sastādīta 2021. gada</v>
      </c>
    </row>
    <row r="11" spans="1:16" ht="12" thickBot="1" x14ac:dyDescent="0.25">
      <c r="A11" s="201"/>
      <c r="B11" s="202"/>
      <c r="C11" s="200"/>
      <c r="D11" s="167"/>
      <c r="E11" s="167"/>
      <c r="F11" s="167"/>
      <c r="G11" s="167"/>
      <c r="H11" s="167"/>
      <c r="I11" s="167"/>
      <c r="J11" s="167"/>
      <c r="K11" s="167"/>
      <c r="L11" s="205"/>
      <c r="M11" s="205"/>
      <c r="N11" s="206"/>
      <c r="O11" s="196"/>
      <c r="P11" s="167"/>
    </row>
    <row r="12" spans="1:16" x14ac:dyDescent="0.2">
      <c r="A12" s="346" t="s">
        <v>23</v>
      </c>
      <c r="B12" s="348" t="s">
        <v>40</v>
      </c>
      <c r="C12" s="343" t="s">
        <v>41</v>
      </c>
      <c r="D12" s="351" t="s">
        <v>42</v>
      </c>
      <c r="E12" s="355" t="s">
        <v>43</v>
      </c>
      <c r="F12" s="342" t="s">
        <v>44</v>
      </c>
      <c r="G12" s="343"/>
      <c r="H12" s="343"/>
      <c r="I12" s="343"/>
      <c r="J12" s="343"/>
      <c r="K12" s="344"/>
      <c r="L12" s="342" t="s">
        <v>45</v>
      </c>
      <c r="M12" s="343"/>
      <c r="N12" s="343"/>
      <c r="O12" s="343"/>
      <c r="P12" s="344"/>
    </row>
    <row r="13" spans="1:16" ht="66" x14ac:dyDescent="0.2">
      <c r="A13" s="373"/>
      <c r="B13" s="374"/>
      <c r="C13" s="375"/>
      <c r="D13" s="376"/>
      <c r="E13" s="377"/>
      <c r="F13" s="247" t="s">
        <v>46</v>
      </c>
      <c r="G13" s="248" t="s">
        <v>47</v>
      </c>
      <c r="H13" s="248" t="s">
        <v>48</v>
      </c>
      <c r="I13" s="248" t="s">
        <v>49</v>
      </c>
      <c r="J13" s="248" t="s">
        <v>50</v>
      </c>
      <c r="K13" s="249" t="s">
        <v>51</v>
      </c>
      <c r="L13" s="247" t="s">
        <v>46</v>
      </c>
      <c r="M13" s="248" t="s">
        <v>48</v>
      </c>
      <c r="N13" s="248" t="s">
        <v>49</v>
      </c>
      <c r="O13" s="248" t="s">
        <v>50</v>
      </c>
      <c r="P13" s="249" t="s">
        <v>51</v>
      </c>
    </row>
    <row r="14" spans="1:16" x14ac:dyDescent="0.2">
      <c r="A14" s="144"/>
      <c r="B14" s="144"/>
      <c r="C14" s="250"/>
      <c r="D14" s="251"/>
      <c r="E14" s="144"/>
      <c r="F14" s="145"/>
      <c r="G14" s="252"/>
      <c r="H14" s="253"/>
      <c r="I14" s="145"/>
      <c r="J14" s="145"/>
      <c r="K14" s="146"/>
      <c r="L14" s="147"/>
      <c r="M14" s="147"/>
      <c r="N14" s="147"/>
      <c r="O14" s="147"/>
      <c r="P14" s="147"/>
    </row>
    <row r="15" spans="1:16" ht="22.5" x14ac:dyDescent="0.2">
      <c r="A15" s="143"/>
      <c r="B15" s="143"/>
      <c r="C15" s="254" t="s">
        <v>282</v>
      </c>
      <c r="D15" s="255"/>
      <c r="E15" s="144"/>
      <c r="F15" s="145"/>
      <c r="G15" s="145"/>
      <c r="H15" s="145"/>
      <c r="I15" s="145"/>
      <c r="J15" s="145"/>
      <c r="K15" s="146"/>
      <c r="L15" s="147"/>
      <c r="M15" s="147"/>
      <c r="N15" s="147"/>
      <c r="O15" s="147"/>
      <c r="P15" s="147"/>
    </row>
    <row r="16" spans="1:16" ht="22.5" x14ac:dyDescent="0.2">
      <c r="A16" s="143"/>
      <c r="B16" s="143"/>
      <c r="C16" s="250" t="s">
        <v>354</v>
      </c>
      <c r="D16" s="251"/>
      <c r="E16" s="144"/>
      <c r="F16" s="145"/>
      <c r="G16" s="145"/>
      <c r="H16" s="145"/>
      <c r="I16" s="145"/>
      <c r="J16" s="145"/>
      <c r="K16" s="146"/>
      <c r="L16" s="147"/>
      <c r="M16" s="147"/>
      <c r="N16" s="147"/>
      <c r="O16" s="147"/>
      <c r="P16" s="147"/>
    </row>
    <row r="17" spans="1:17" ht="22.5" customHeight="1" x14ac:dyDescent="0.2">
      <c r="A17" s="143" t="str">
        <f>IF(COUNTBLANK(B17)=1," ",COUNTA($B$15:B17))</f>
        <v xml:space="preserve"> </v>
      </c>
      <c r="B17" s="143"/>
      <c r="C17" s="256" t="s">
        <v>355</v>
      </c>
      <c r="D17" s="250"/>
      <c r="E17" s="181"/>
      <c r="F17" s="145"/>
      <c r="G17" s="145"/>
      <c r="H17" s="145"/>
      <c r="I17" s="145"/>
      <c r="J17" s="145"/>
      <c r="K17" s="146"/>
      <c r="L17" s="147"/>
      <c r="M17" s="147"/>
      <c r="N17" s="147"/>
      <c r="O17" s="147"/>
      <c r="P17" s="147"/>
      <c r="Q17" s="175"/>
    </row>
    <row r="18" spans="1:17" ht="33.75" x14ac:dyDescent="0.2">
      <c r="A18" s="143">
        <f>IF(COUNTBLANK(B18)=1," ",COUNTA($B$15:B18))</f>
        <v>1</v>
      </c>
      <c r="B18" s="143" t="s">
        <v>93</v>
      </c>
      <c r="C18" s="256" t="s">
        <v>356</v>
      </c>
      <c r="D18" s="250" t="s">
        <v>100</v>
      </c>
      <c r="E18" s="257">
        <f>(449.3+133.8)*1.2</f>
        <v>699.72</v>
      </c>
      <c r="F18" s="145"/>
      <c r="G18" s="145"/>
      <c r="H18" s="145"/>
      <c r="I18" s="145"/>
      <c r="J18" s="145"/>
      <c r="K18" s="146"/>
      <c r="L18" s="147"/>
      <c r="M18" s="147"/>
      <c r="N18" s="147"/>
      <c r="O18" s="147"/>
      <c r="P18" s="147"/>
      <c r="Q18" s="175"/>
    </row>
    <row r="19" spans="1:17" ht="22.5" x14ac:dyDescent="0.2">
      <c r="A19" s="143">
        <f>IF(COUNTBLANK(B19)=1," ",COUNTA($B$15:B19))</f>
        <v>2</v>
      </c>
      <c r="B19" s="143" t="s">
        <v>93</v>
      </c>
      <c r="C19" s="256" t="s">
        <v>533</v>
      </c>
      <c r="D19" s="250" t="s">
        <v>100</v>
      </c>
      <c r="E19" s="257">
        <f>(449.3+133.8)*1.2</f>
        <v>699.72</v>
      </c>
      <c r="F19" s="145"/>
      <c r="G19" s="145"/>
      <c r="H19" s="145"/>
      <c r="I19" s="145"/>
      <c r="J19" s="145"/>
      <c r="K19" s="146"/>
      <c r="L19" s="147"/>
      <c r="M19" s="147"/>
      <c r="N19" s="147"/>
      <c r="O19" s="147"/>
      <c r="P19" s="147"/>
      <c r="Q19" s="175"/>
    </row>
    <row r="20" spans="1:17" ht="27.75" customHeight="1" x14ac:dyDescent="0.2">
      <c r="A20" s="143">
        <f>IF(COUNTBLANK(B20)=1," ",COUNTA($B$15:B20))</f>
        <v>3</v>
      </c>
      <c r="B20" s="143" t="s">
        <v>93</v>
      </c>
      <c r="C20" s="256" t="s">
        <v>357</v>
      </c>
      <c r="D20" s="250" t="s">
        <v>100</v>
      </c>
      <c r="E20" s="257">
        <v>612.29999999999995</v>
      </c>
      <c r="F20" s="145"/>
      <c r="G20" s="145"/>
      <c r="H20" s="145"/>
      <c r="I20" s="145"/>
      <c r="J20" s="145"/>
      <c r="K20" s="146"/>
      <c r="L20" s="147"/>
      <c r="M20" s="147"/>
      <c r="N20" s="147"/>
      <c r="O20" s="147"/>
      <c r="P20" s="147"/>
      <c r="Q20" s="175"/>
    </row>
    <row r="21" spans="1:17" ht="22.5" x14ac:dyDescent="0.2">
      <c r="A21" s="143">
        <f>IF(COUNTBLANK(B21)=1," ",COUNTA($B$15:B21))</f>
        <v>4</v>
      </c>
      <c r="B21" s="143" t="s">
        <v>93</v>
      </c>
      <c r="C21" s="256" t="s">
        <v>358</v>
      </c>
      <c r="D21" s="250" t="s">
        <v>100</v>
      </c>
      <c r="E21" s="257">
        <v>612.29999999999995</v>
      </c>
      <c r="F21" s="145"/>
      <c r="G21" s="145"/>
      <c r="H21" s="145"/>
      <c r="I21" s="145"/>
      <c r="J21" s="145"/>
      <c r="K21" s="146"/>
      <c r="L21" s="147"/>
      <c r="M21" s="147"/>
      <c r="N21" s="147"/>
      <c r="O21" s="147"/>
      <c r="P21" s="147"/>
    </row>
    <row r="22" spans="1:17" ht="22.5" x14ac:dyDescent="0.2">
      <c r="A22" s="143">
        <f>IF(COUNTBLANK(B22)=1," ",COUNTA($B$15:B22))</f>
        <v>5</v>
      </c>
      <c r="B22" s="143" t="s">
        <v>93</v>
      </c>
      <c r="C22" s="256" t="s">
        <v>478</v>
      </c>
      <c r="D22" s="250" t="s">
        <v>100</v>
      </c>
      <c r="E22" s="257">
        <v>850</v>
      </c>
      <c r="F22" s="145"/>
      <c r="G22" s="145"/>
      <c r="H22" s="145"/>
      <c r="I22" s="145"/>
      <c r="J22" s="145"/>
      <c r="K22" s="146"/>
      <c r="L22" s="147"/>
      <c r="M22" s="147"/>
      <c r="N22" s="147"/>
      <c r="O22" s="147"/>
      <c r="P22" s="147"/>
    </row>
    <row r="23" spans="1:17" ht="33.75" x14ac:dyDescent="0.2">
      <c r="A23" s="143">
        <f>IF(COUNTBLANK(B23)=1," ",COUNTA($B$15:B23))</f>
        <v>6</v>
      </c>
      <c r="B23" s="143" t="s">
        <v>93</v>
      </c>
      <c r="C23" s="256" t="s">
        <v>359</v>
      </c>
      <c r="D23" s="250" t="s">
        <v>100</v>
      </c>
      <c r="E23" s="181">
        <f>760*0.055</f>
        <v>41.8</v>
      </c>
      <c r="F23" s="145"/>
      <c r="G23" s="145"/>
      <c r="H23" s="145"/>
      <c r="I23" s="145"/>
      <c r="J23" s="145"/>
      <c r="K23" s="146"/>
      <c r="L23" s="147"/>
      <c r="M23" s="147"/>
      <c r="N23" s="147"/>
      <c r="O23" s="147"/>
      <c r="P23" s="147"/>
    </row>
    <row r="24" spans="1:17" ht="33.75" x14ac:dyDescent="0.2">
      <c r="A24" s="143">
        <f>IF(COUNTBLANK(B24)=1," ",COUNTA($B$15:B24))</f>
        <v>7</v>
      </c>
      <c r="B24" s="143" t="s">
        <v>93</v>
      </c>
      <c r="C24" s="256" t="s">
        <v>360</v>
      </c>
      <c r="D24" s="250" t="s">
        <v>97</v>
      </c>
      <c r="E24" s="181">
        <f>8*72+4*44</f>
        <v>752</v>
      </c>
      <c r="F24" s="145"/>
      <c r="G24" s="145"/>
      <c r="H24" s="145"/>
      <c r="I24" s="145"/>
      <c r="J24" s="145"/>
      <c r="K24" s="146"/>
      <c r="L24" s="147"/>
      <c r="M24" s="147"/>
      <c r="N24" s="147"/>
      <c r="O24" s="147"/>
      <c r="P24" s="147"/>
    </row>
    <row r="25" spans="1:17" ht="33.75" x14ac:dyDescent="0.2">
      <c r="A25" s="143">
        <f>IF(COUNTBLANK(B25)=1," ",COUNTA($B$15:B25))</f>
        <v>8</v>
      </c>
      <c r="B25" s="143" t="s">
        <v>93</v>
      </c>
      <c r="C25" s="256" t="s">
        <v>361</v>
      </c>
      <c r="D25" s="250" t="s">
        <v>97</v>
      </c>
      <c r="E25" s="181">
        <f>0.3*752</f>
        <v>225.6</v>
      </c>
      <c r="F25" s="145"/>
      <c r="G25" s="145"/>
      <c r="H25" s="145"/>
      <c r="I25" s="145"/>
      <c r="J25" s="145"/>
      <c r="K25" s="146"/>
      <c r="L25" s="147"/>
      <c r="M25" s="147"/>
      <c r="N25" s="147"/>
      <c r="O25" s="147"/>
      <c r="P25" s="147"/>
    </row>
    <row r="26" spans="1:17" ht="33.75" x14ac:dyDescent="0.2">
      <c r="A26" s="143">
        <f>IF(COUNTBLANK(B26)=1," ",COUNTA($B$15:B26))</f>
        <v>9</v>
      </c>
      <c r="B26" s="143" t="s">
        <v>93</v>
      </c>
      <c r="C26" s="256" t="s">
        <v>362</v>
      </c>
      <c r="D26" s="250" t="s">
        <v>97</v>
      </c>
      <c r="E26" s="181">
        <v>752</v>
      </c>
      <c r="F26" s="145"/>
      <c r="G26" s="145"/>
      <c r="H26" s="145"/>
      <c r="I26" s="145"/>
      <c r="J26" s="145"/>
      <c r="K26" s="146"/>
      <c r="L26" s="147"/>
      <c r="M26" s="147"/>
      <c r="N26" s="147"/>
      <c r="O26" s="147"/>
      <c r="P26" s="147"/>
    </row>
    <row r="27" spans="1:17" ht="33.75" x14ac:dyDescent="0.2">
      <c r="A27" s="143">
        <f>IF(COUNTBLANK(B27)=1," ",COUNTA($B$15:B27))</f>
        <v>10</v>
      </c>
      <c r="B27" s="143" t="s">
        <v>93</v>
      </c>
      <c r="C27" s="256" t="s">
        <v>363</v>
      </c>
      <c r="D27" s="250" t="s">
        <v>97</v>
      </c>
      <c r="E27" s="181">
        <f>(72+44)*2</f>
        <v>232</v>
      </c>
      <c r="F27" s="145"/>
      <c r="G27" s="145"/>
      <c r="H27" s="145"/>
      <c r="I27" s="145"/>
      <c r="J27" s="145"/>
      <c r="K27" s="146"/>
      <c r="L27" s="147"/>
      <c r="M27" s="147"/>
      <c r="N27" s="147"/>
      <c r="O27" s="147"/>
      <c r="P27" s="147"/>
    </row>
    <row r="28" spans="1:17" ht="33.75" x14ac:dyDescent="0.2">
      <c r="A28" s="143">
        <f>IF(COUNTBLANK(B28)=1," ",COUNTA($B$15:B28))</f>
        <v>11</v>
      </c>
      <c r="B28" s="143" t="s">
        <v>93</v>
      </c>
      <c r="C28" s="256" t="s">
        <v>361</v>
      </c>
      <c r="D28" s="250" t="s">
        <v>97</v>
      </c>
      <c r="E28" s="181">
        <f>0.3*232</f>
        <v>69.599999999999994</v>
      </c>
      <c r="F28" s="145"/>
      <c r="G28" s="145"/>
      <c r="H28" s="145"/>
      <c r="I28" s="145"/>
      <c r="J28" s="145"/>
      <c r="K28" s="146"/>
      <c r="L28" s="147"/>
      <c r="M28" s="147"/>
      <c r="N28" s="147"/>
      <c r="O28" s="147"/>
      <c r="P28" s="147"/>
    </row>
    <row r="29" spans="1:17" ht="22.5" x14ac:dyDescent="0.2">
      <c r="A29" s="143">
        <f>IF(COUNTBLANK(B29)=1," ",COUNTA($B$15:B29))</f>
        <v>12</v>
      </c>
      <c r="B29" s="143" t="s">
        <v>93</v>
      </c>
      <c r="C29" s="256" t="s">
        <v>364</v>
      </c>
      <c r="D29" s="250" t="s">
        <v>100</v>
      </c>
      <c r="E29" s="181">
        <f>0.3*782</f>
        <v>234.6</v>
      </c>
      <c r="F29" s="145"/>
      <c r="G29" s="145"/>
      <c r="H29" s="145"/>
      <c r="I29" s="145"/>
      <c r="J29" s="145"/>
      <c r="K29" s="146"/>
      <c r="L29" s="147"/>
      <c r="M29" s="147"/>
      <c r="N29" s="147"/>
      <c r="O29" s="147"/>
      <c r="P29" s="147"/>
    </row>
    <row r="30" spans="1:17" ht="12" thickBot="1" x14ac:dyDescent="0.25">
      <c r="A30" s="360" t="s">
        <v>545</v>
      </c>
      <c r="B30" s="361"/>
      <c r="C30" s="361"/>
      <c r="D30" s="361"/>
      <c r="E30" s="361"/>
      <c r="F30" s="361"/>
      <c r="G30" s="361"/>
      <c r="H30" s="361"/>
      <c r="I30" s="361"/>
      <c r="J30" s="361"/>
      <c r="K30" s="362"/>
      <c r="L30" s="226">
        <f>SUM(L14:L14)</f>
        <v>0</v>
      </c>
      <c r="M30" s="238">
        <f>SUM(M14:M14)</f>
        <v>0</v>
      </c>
      <c r="N30" s="238">
        <f>SUM(N14:N14)</f>
        <v>0</v>
      </c>
      <c r="O30" s="238">
        <f>SUM(O14:O14)</f>
        <v>0</v>
      </c>
      <c r="P30" s="239">
        <f>SUM(P14:P14)</f>
        <v>0</v>
      </c>
    </row>
    <row r="31" spans="1:17" x14ac:dyDescent="0.2">
      <c r="A31" s="173"/>
      <c r="B31" s="173"/>
      <c r="C31" s="173"/>
      <c r="D31" s="173"/>
      <c r="E31" s="173"/>
      <c r="F31" s="173"/>
      <c r="G31" s="173"/>
      <c r="H31" s="173"/>
      <c r="I31" s="173"/>
      <c r="J31" s="173"/>
      <c r="K31" s="173"/>
      <c r="L31" s="173"/>
      <c r="M31" s="173"/>
      <c r="N31" s="173"/>
      <c r="O31" s="173"/>
      <c r="P31" s="173"/>
    </row>
    <row r="32" spans="1:17" x14ac:dyDescent="0.2">
      <c r="A32" s="173"/>
      <c r="B32" s="173"/>
      <c r="C32" s="173"/>
      <c r="D32" s="173"/>
      <c r="E32" s="173"/>
      <c r="F32" s="173"/>
      <c r="G32" s="173"/>
      <c r="H32" s="173"/>
      <c r="I32" s="173"/>
      <c r="J32" s="173"/>
      <c r="K32" s="173"/>
      <c r="L32" s="173"/>
      <c r="M32" s="173"/>
      <c r="N32" s="173"/>
      <c r="O32" s="173"/>
      <c r="P32" s="173"/>
    </row>
    <row r="33" spans="1:16" x14ac:dyDescent="0.2">
      <c r="A33" s="174" t="s">
        <v>14</v>
      </c>
      <c r="B33" s="173"/>
      <c r="C33" s="358">
        <f>'Kops a'!C34:H34</f>
        <v>0</v>
      </c>
      <c r="D33" s="358"/>
      <c r="E33" s="358"/>
      <c r="F33" s="358"/>
      <c r="G33" s="358"/>
      <c r="H33" s="358"/>
      <c r="I33" s="173"/>
      <c r="J33" s="173"/>
      <c r="K33" s="173"/>
      <c r="L33" s="173"/>
      <c r="M33" s="173"/>
      <c r="N33" s="173"/>
      <c r="O33" s="173"/>
      <c r="P33" s="173"/>
    </row>
    <row r="34" spans="1:16" x14ac:dyDescent="0.2">
      <c r="A34" s="173"/>
      <c r="B34" s="173"/>
      <c r="C34" s="359" t="s">
        <v>15</v>
      </c>
      <c r="D34" s="359"/>
      <c r="E34" s="359"/>
      <c r="F34" s="359"/>
      <c r="G34" s="359"/>
      <c r="H34" s="359"/>
      <c r="I34" s="173"/>
      <c r="J34" s="173"/>
      <c r="K34" s="173"/>
      <c r="L34" s="173"/>
      <c r="M34" s="173"/>
      <c r="N34" s="173"/>
      <c r="O34" s="173"/>
      <c r="P34" s="173"/>
    </row>
    <row r="35" spans="1:16" x14ac:dyDescent="0.2">
      <c r="A35" s="173"/>
      <c r="B35" s="173"/>
      <c r="C35" s="173"/>
      <c r="D35" s="173"/>
      <c r="E35" s="173"/>
      <c r="F35" s="173"/>
      <c r="G35" s="173"/>
      <c r="H35" s="173"/>
      <c r="I35" s="173"/>
      <c r="J35" s="173"/>
      <c r="K35" s="173"/>
      <c r="L35" s="173"/>
      <c r="M35" s="173"/>
      <c r="N35" s="173"/>
      <c r="O35" s="173"/>
      <c r="P35" s="173"/>
    </row>
    <row r="36" spans="1:16" x14ac:dyDescent="0.2">
      <c r="A36" s="227" t="str">
        <f>'Kops a'!A37</f>
        <v>Tāme sastādīta 2021. gada</v>
      </c>
      <c r="B36" s="228"/>
      <c r="C36" s="228"/>
      <c r="D36" s="228"/>
      <c r="E36" s="173"/>
      <c r="F36" s="173"/>
      <c r="G36" s="173"/>
      <c r="H36" s="173"/>
      <c r="I36" s="173"/>
      <c r="J36" s="173"/>
      <c r="K36" s="173"/>
      <c r="L36" s="173"/>
      <c r="M36" s="173"/>
      <c r="N36" s="173"/>
      <c r="O36" s="173"/>
      <c r="P36" s="173"/>
    </row>
    <row r="37" spans="1:16" x14ac:dyDescent="0.2">
      <c r="A37" s="173"/>
      <c r="B37" s="173"/>
      <c r="C37" s="173"/>
      <c r="D37" s="173"/>
      <c r="E37" s="173"/>
      <c r="F37" s="173"/>
      <c r="G37" s="173"/>
      <c r="H37" s="173"/>
      <c r="I37" s="173"/>
      <c r="J37" s="173"/>
      <c r="K37" s="173"/>
      <c r="L37" s="173"/>
      <c r="M37" s="173"/>
      <c r="N37" s="173"/>
      <c r="O37" s="173"/>
      <c r="P37" s="173"/>
    </row>
    <row r="38" spans="1:16" x14ac:dyDescent="0.2">
      <c r="A38" s="174" t="s">
        <v>37</v>
      </c>
      <c r="B38" s="173"/>
      <c r="C38" s="358">
        <f>'Kops a'!C39:H39</f>
        <v>0</v>
      </c>
      <c r="D38" s="358"/>
      <c r="E38" s="358"/>
      <c r="F38" s="358"/>
      <c r="G38" s="358"/>
      <c r="H38" s="358"/>
      <c r="I38" s="173"/>
      <c r="J38" s="173"/>
      <c r="K38" s="173"/>
      <c r="L38" s="173"/>
      <c r="M38" s="173"/>
      <c r="N38" s="173"/>
      <c r="O38" s="173"/>
      <c r="P38" s="173"/>
    </row>
    <row r="39" spans="1:16" x14ac:dyDescent="0.2">
      <c r="A39" s="173"/>
      <c r="B39" s="173"/>
      <c r="C39" s="359" t="s">
        <v>15</v>
      </c>
      <c r="D39" s="359"/>
      <c r="E39" s="359"/>
      <c r="F39" s="359"/>
      <c r="G39" s="359"/>
      <c r="H39" s="359"/>
      <c r="I39" s="173"/>
      <c r="J39" s="173"/>
      <c r="K39" s="173"/>
      <c r="L39" s="173"/>
      <c r="M39" s="173"/>
      <c r="N39" s="173"/>
      <c r="O39" s="173"/>
      <c r="P39" s="173"/>
    </row>
    <row r="40" spans="1:16" x14ac:dyDescent="0.2">
      <c r="A40" s="173"/>
      <c r="B40" s="173"/>
      <c r="C40" s="173"/>
      <c r="D40" s="173"/>
      <c r="E40" s="173"/>
      <c r="F40" s="173"/>
      <c r="G40" s="173"/>
      <c r="H40" s="173"/>
      <c r="I40" s="173"/>
      <c r="J40" s="173"/>
      <c r="K40" s="173"/>
      <c r="L40" s="173"/>
      <c r="M40" s="173"/>
      <c r="N40" s="173"/>
      <c r="O40" s="173"/>
      <c r="P40" s="173"/>
    </row>
    <row r="41" spans="1:16" x14ac:dyDescent="0.2">
      <c r="A41" s="227" t="s">
        <v>54</v>
      </c>
      <c r="B41" s="228"/>
      <c r="C41" s="229">
        <f>'Kops a'!C42</f>
        <v>0</v>
      </c>
      <c r="D41" s="230"/>
      <c r="E41" s="173"/>
      <c r="F41" s="173"/>
      <c r="G41" s="173"/>
      <c r="H41" s="173"/>
      <c r="I41" s="173"/>
      <c r="J41" s="173"/>
      <c r="K41" s="173"/>
      <c r="L41" s="173"/>
      <c r="M41" s="173"/>
      <c r="N41" s="173"/>
      <c r="O41" s="173"/>
      <c r="P41" s="173"/>
    </row>
    <row r="42" spans="1:16" x14ac:dyDescent="0.2">
      <c r="A42" s="173"/>
      <c r="B42" s="173"/>
      <c r="C42" s="173"/>
      <c r="D42" s="173"/>
      <c r="E42" s="173"/>
      <c r="F42" s="173"/>
      <c r="G42" s="173"/>
      <c r="H42" s="173"/>
      <c r="I42" s="173"/>
      <c r="J42" s="173"/>
      <c r="K42" s="173"/>
      <c r="L42" s="173"/>
      <c r="M42" s="173"/>
      <c r="N42" s="173"/>
      <c r="O42" s="173"/>
      <c r="P42" s="173"/>
    </row>
    <row r="43" spans="1:16" x14ac:dyDescent="0.2">
      <c r="A43" s="231" t="s">
        <v>63</v>
      </c>
      <c r="B43" s="173"/>
      <c r="E43" s="167"/>
      <c r="F43" s="232"/>
      <c r="G43" s="167"/>
      <c r="H43" s="233"/>
      <c r="I43" s="233"/>
      <c r="J43" s="234"/>
      <c r="K43" s="235"/>
      <c r="L43" s="235"/>
      <c r="M43" s="235"/>
      <c r="N43" s="235"/>
      <c r="O43" s="235"/>
    </row>
    <row r="44" spans="1:16" x14ac:dyDescent="0.2">
      <c r="A44" s="357" t="s">
        <v>64</v>
      </c>
      <c r="B44" s="357"/>
      <c r="C44" s="357"/>
      <c r="D44" s="357"/>
      <c r="E44" s="357"/>
      <c r="F44" s="357"/>
      <c r="G44" s="357"/>
      <c r="H44" s="357"/>
      <c r="I44" s="357"/>
      <c r="J44" s="357"/>
      <c r="K44" s="357"/>
      <c r="L44" s="357"/>
      <c r="M44" s="357"/>
      <c r="N44" s="357"/>
      <c r="O44" s="357"/>
    </row>
    <row r="45" spans="1:16" x14ac:dyDescent="0.2">
      <c r="A45" s="357" t="s">
        <v>65</v>
      </c>
      <c r="B45" s="357"/>
      <c r="C45" s="357"/>
      <c r="D45" s="357"/>
      <c r="E45" s="357"/>
      <c r="F45" s="357"/>
      <c r="G45" s="357"/>
      <c r="H45" s="357"/>
      <c r="I45" s="357"/>
      <c r="J45" s="357"/>
      <c r="K45" s="357"/>
      <c r="L45" s="357"/>
      <c r="M45" s="357"/>
      <c r="N45" s="357"/>
      <c r="O45" s="357"/>
    </row>
  </sheetData>
  <autoFilter ref="A14:P30" xr:uid="{00000000-0009-0000-0000-000006000000}"/>
  <mergeCells count="24">
    <mergeCell ref="C39:H39"/>
    <mergeCell ref="D8:L8"/>
    <mergeCell ref="A30:K30"/>
    <mergeCell ref="A45:O45"/>
    <mergeCell ref="N9:O9"/>
    <mergeCell ref="A12:A13"/>
    <mergeCell ref="B12:B13"/>
    <mergeCell ref="C12:C13"/>
    <mergeCell ref="D12:D13"/>
    <mergeCell ref="E12:E13"/>
    <mergeCell ref="L12:P12"/>
    <mergeCell ref="C33:H33"/>
    <mergeCell ref="C34:H34"/>
    <mergeCell ref="A44:O44"/>
    <mergeCell ref="F12:K12"/>
    <mergeCell ref="A9:F9"/>
    <mergeCell ref="J9:M9"/>
    <mergeCell ref="C38:H38"/>
    <mergeCell ref="C2:I2"/>
    <mergeCell ref="C3:I3"/>
    <mergeCell ref="D5:L5"/>
    <mergeCell ref="D6:L6"/>
    <mergeCell ref="D7:L7"/>
    <mergeCell ref="C4:I4"/>
  </mergeCells>
  <conditionalFormatting sqref="I14:J28 A14:G18 C19:G28 A19:B29">
    <cfRule type="cellIs" dxfId="109" priority="169" operator="equal">
      <formula>0</formula>
    </cfRule>
  </conditionalFormatting>
  <conditionalFormatting sqref="N9:O9 D5:L8 D1 K14:P28 H14:H28">
    <cfRule type="cellIs" dxfId="108" priority="168" operator="equal">
      <formula>0</formula>
    </cfRule>
  </conditionalFormatting>
  <conditionalFormatting sqref="A9:F9">
    <cfRule type="containsText" dxfId="107" priority="166" operator="containsText" text="Tāme sastādīta  20__. gada tirgus cenās, pamatojoties uz ___ daļas rasējumiem">
      <formula>NOT(ISERROR(SEARCH("Tāme sastādīta  20__. gada tirgus cenās, pamatojoties uz ___ daļas rasējumiem",A9)))</formula>
    </cfRule>
  </conditionalFormatting>
  <conditionalFormatting sqref="O10:P10">
    <cfRule type="cellIs" dxfId="106" priority="164" operator="equal">
      <formula>"20__. gada __. _________"</formula>
    </cfRule>
  </conditionalFormatting>
  <conditionalFormatting sqref="A30:K30">
    <cfRule type="containsText" dxfId="105" priority="163" operator="containsText" text="Tiešās izmaksas kopā, t. sk. darba devēja sociālais nodoklis __.__% ">
      <formula>NOT(ISERROR(SEARCH("Tiešās izmaksas kopā, t. sk. darba devēja sociālais nodoklis __.__% ",A30)))</formula>
    </cfRule>
  </conditionalFormatting>
  <conditionalFormatting sqref="L30:P30">
    <cfRule type="cellIs" dxfId="104" priority="158" operator="equal">
      <formula>0</formula>
    </cfRule>
  </conditionalFormatting>
  <conditionalFormatting sqref="C4:I4 C2:I2">
    <cfRule type="cellIs" dxfId="103" priority="157" operator="equal">
      <formula>0</formula>
    </cfRule>
  </conditionalFormatting>
  <conditionalFormatting sqref="C38:H38">
    <cfRule type="cellIs" dxfId="102" priority="146" operator="equal">
      <formula>0</formula>
    </cfRule>
  </conditionalFormatting>
  <conditionalFormatting sqref="C33:H33">
    <cfRule type="cellIs" dxfId="101" priority="145" operator="equal">
      <formula>0</formula>
    </cfRule>
  </conditionalFormatting>
  <conditionalFormatting sqref="C38:H38 C41 C33:H33">
    <cfRule type="cellIs" dxfId="100" priority="144" operator="equal">
      <formula>0</formula>
    </cfRule>
  </conditionalFormatting>
  <conditionalFormatting sqref="I29:J29 C29:G29">
    <cfRule type="cellIs" dxfId="99" priority="3" operator="equal">
      <formula>0</formula>
    </cfRule>
  </conditionalFormatting>
  <conditionalFormatting sqref="K29:P29 H29">
    <cfRule type="cellIs" dxfId="98" priority="2" operator="equal">
      <formula>0</formula>
    </cfRule>
  </conditionalFormatting>
  <pageMargins left="0.7" right="0.7" top="0.75" bottom="0.75" header="0.3" footer="0.3"/>
  <pageSetup paperSize="9" scale="93" fitToHeight="0" orientation="landscape" r:id="rId1"/>
  <headerFooter>
    <oddFooter>&amp;R&amp;P</oddFooter>
  </headerFooter>
  <rowBreaks count="1" manualBreakCount="1">
    <brk id="28" max="16383" man="1"/>
  </rowBreaks>
  <legacyDrawing r:id="rId2"/>
  <extLst>
    <ext xmlns:x14="http://schemas.microsoft.com/office/spreadsheetml/2009/9/main" uri="{78C0D931-6437-407d-A8EE-F0AAD7539E65}">
      <x14:conditionalFormattings>
        <x14:conditionalFormatting xmlns:xm="http://schemas.microsoft.com/office/excel/2006/main">
          <x14:cfRule type="containsText" priority="170" operator="containsText" id="{A5F45D83-914D-4306-B26D-4B74C3C819FC}">
            <xm:f>NOT(ISERROR(SEARCH("Tāme sastādīta ____. gada ___. ______________",A36)))</xm:f>
            <xm:f>"Tāme sastādīta ____. gada ___. ______________"</xm:f>
            <x14:dxf>
              <font>
                <color auto="1"/>
              </font>
              <fill>
                <patternFill>
                  <bgColor rgb="FFC6EFCE"/>
                </patternFill>
              </fill>
            </x14:dxf>
          </x14:cfRule>
          <xm:sqref>A36</xm:sqref>
        </x14:conditionalFormatting>
        <x14:conditionalFormatting xmlns:xm="http://schemas.microsoft.com/office/excel/2006/main">
          <x14:cfRule type="containsText" priority="171" operator="containsText" id="{A2E03CF5-E14D-4A31-8C34-6550548A72DB}">
            <xm:f>NOT(ISERROR(SEARCH("Sertifikāta Nr. _________________________________",A41)))</xm:f>
            <xm:f>"Sertifikāta Nr. _________________________________"</xm:f>
            <x14:dxf>
              <font>
                <color auto="1"/>
              </font>
              <fill>
                <patternFill>
                  <bgColor rgb="FFC6EFCE"/>
                </patternFill>
              </fill>
            </x14:dxf>
          </x14:cfRule>
          <xm:sqref>A41</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5757"/>
    <pageSetUpPr fitToPage="1"/>
  </sheetPr>
  <dimension ref="A1:IP78"/>
  <sheetViews>
    <sheetView view="pageBreakPreview" topLeftCell="A55" zoomScale="130" zoomScaleNormal="100" zoomScaleSheetLayoutView="130" workbookViewId="0">
      <selection activeCell="C31" sqref="C31"/>
    </sheetView>
  </sheetViews>
  <sheetFormatPr defaultColWidth="9.140625" defaultRowHeight="11.25" x14ac:dyDescent="0.2"/>
  <cols>
    <col min="1" max="1" width="5.42578125" style="174" customWidth="1"/>
    <col min="2" max="2" width="5.28515625" style="174" customWidth="1"/>
    <col min="3" max="3" width="48.140625" style="174" customWidth="1"/>
    <col min="4" max="4" width="5.85546875" style="174" customWidth="1"/>
    <col min="5" max="5" width="8.7109375" style="174" customWidth="1"/>
    <col min="6" max="7" width="5.42578125" style="174" customWidth="1"/>
    <col min="8" max="10" width="6.7109375" style="174" customWidth="1"/>
    <col min="11" max="11" width="7" style="174" customWidth="1"/>
    <col min="12" max="15" width="7.7109375" style="174" customWidth="1"/>
    <col min="16" max="16" width="9" style="174" customWidth="1"/>
    <col min="17" max="16384" width="9.140625" style="174"/>
  </cols>
  <sheetData>
    <row r="1" spans="1:250" x14ac:dyDescent="0.2">
      <c r="A1" s="167"/>
      <c r="B1" s="167"/>
      <c r="C1" s="194" t="s">
        <v>38</v>
      </c>
      <c r="D1" s="195">
        <f>'Kops a'!A20</f>
        <v>6</v>
      </c>
      <c r="E1" s="167"/>
      <c r="F1" s="167"/>
      <c r="G1" s="167"/>
      <c r="H1" s="167"/>
      <c r="I1" s="167"/>
      <c r="J1" s="167"/>
      <c r="N1" s="196"/>
      <c r="O1" s="194"/>
      <c r="P1" s="197"/>
    </row>
    <row r="2" spans="1:250" x14ac:dyDescent="0.2">
      <c r="A2" s="198"/>
      <c r="B2" s="198"/>
      <c r="C2" s="338" t="s">
        <v>314</v>
      </c>
      <c r="D2" s="338"/>
      <c r="E2" s="338"/>
      <c r="F2" s="338"/>
      <c r="G2" s="338"/>
      <c r="H2" s="338"/>
      <c r="I2" s="338"/>
      <c r="J2" s="198"/>
    </row>
    <row r="3" spans="1:250" x14ac:dyDescent="0.2">
      <c r="A3" s="199"/>
      <c r="B3" s="199"/>
      <c r="C3" s="339" t="s">
        <v>17</v>
      </c>
      <c r="D3" s="339"/>
      <c r="E3" s="339"/>
      <c r="F3" s="339"/>
      <c r="G3" s="339"/>
      <c r="H3" s="339"/>
      <c r="I3" s="339"/>
      <c r="J3" s="199"/>
    </row>
    <row r="4" spans="1:250" x14ac:dyDescent="0.2">
      <c r="A4" s="199"/>
      <c r="B4" s="199"/>
      <c r="C4" s="340" t="s">
        <v>52</v>
      </c>
      <c r="D4" s="340"/>
      <c r="E4" s="340"/>
      <c r="F4" s="340"/>
      <c r="G4" s="340"/>
      <c r="H4" s="340"/>
      <c r="I4" s="340"/>
      <c r="J4" s="199"/>
    </row>
    <row r="5" spans="1:250" x14ac:dyDescent="0.2">
      <c r="A5" s="167"/>
      <c r="B5" s="167"/>
      <c r="C5" s="194" t="s">
        <v>5</v>
      </c>
      <c r="D5" s="354" t="str">
        <f>'Kops a'!D6</f>
        <v>Dzīvojamās ēkas vienkāršotā atjaunošana</v>
      </c>
      <c r="E5" s="354"/>
      <c r="F5" s="354"/>
      <c r="G5" s="354"/>
      <c r="H5" s="354"/>
      <c r="I5" s="354"/>
      <c r="J5" s="354"/>
      <c r="K5" s="354"/>
      <c r="L5" s="354"/>
      <c r="M5" s="173"/>
      <c r="N5" s="173"/>
      <c r="O5" s="173"/>
      <c r="P5" s="173"/>
    </row>
    <row r="6" spans="1:250" x14ac:dyDescent="0.2">
      <c r="A6" s="167"/>
      <c r="B6" s="167"/>
      <c r="C6" s="194" t="s">
        <v>6</v>
      </c>
      <c r="D6" s="354" t="str">
        <f>'Kops a'!D7</f>
        <v>Daudzdzīvokļu dzīvojamās ēkas energoefektivitātes paaugstināšanas pasākumi</v>
      </c>
      <c r="E6" s="354"/>
      <c r="F6" s="354"/>
      <c r="G6" s="354"/>
      <c r="H6" s="354"/>
      <c r="I6" s="354"/>
      <c r="J6" s="354"/>
      <c r="K6" s="354"/>
      <c r="L6" s="354"/>
      <c r="M6" s="173"/>
      <c r="N6" s="173"/>
      <c r="O6" s="173"/>
      <c r="P6" s="173"/>
    </row>
    <row r="7" spans="1:250" x14ac:dyDescent="0.2">
      <c r="A7" s="167"/>
      <c r="B7" s="167"/>
      <c r="C7" s="194" t="s">
        <v>7</v>
      </c>
      <c r="D7" s="354" t="str">
        <f>'Kops a'!D8</f>
        <v>Dzērves iela 23, Liepāja</v>
      </c>
      <c r="E7" s="354"/>
      <c r="F7" s="354"/>
      <c r="G7" s="354"/>
      <c r="H7" s="354"/>
      <c r="I7" s="354"/>
      <c r="J7" s="354"/>
      <c r="K7" s="354"/>
      <c r="L7" s="354"/>
      <c r="M7" s="173"/>
      <c r="N7" s="173"/>
      <c r="O7" s="173"/>
      <c r="P7" s="173"/>
    </row>
    <row r="8" spans="1:250" x14ac:dyDescent="0.2">
      <c r="A8" s="167"/>
      <c r="B8" s="167"/>
      <c r="C8" s="200" t="s">
        <v>20</v>
      </c>
      <c r="D8" s="354" t="str">
        <f>'Kops a'!D9</f>
        <v>EA-14-17/WOOS</v>
      </c>
      <c r="E8" s="354"/>
      <c r="F8" s="354"/>
      <c r="G8" s="354"/>
      <c r="H8" s="354"/>
      <c r="I8" s="354"/>
      <c r="J8" s="354"/>
      <c r="K8" s="354"/>
      <c r="L8" s="354"/>
      <c r="M8" s="173"/>
      <c r="N8" s="173"/>
      <c r="O8" s="173"/>
      <c r="P8" s="173"/>
    </row>
    <row r="9" spans="1:250" x14ac:dyDescent="0.2">
      <c r="A9" s="341" t="s">
        <v>556</v>
      </c>
      <c r="B9" s="341"/>
      <c r="C9" s="341"/>
      <c r="D9" s="341"/>
      <c r="E9" s="341"/>
      <c r="F9" s="341"/>
      <c r="G9" s="175"/>
      <c r="H9" s="175"/>
      <c r="I9" s="175"/>
      <c r="J9" s="345" t="s">
        <v>39</v>
      </c>
      <c r="K9" s="345"/>
      <c r="L9" s="345"/>
      <c r="M9" s="345"/>
      <c r="N9" s="353">
        <f>P63</f>
        <v>0</v>
      </c>
      <c r="O9" s="353"/>
      <c r="P9" s="175"/>
    </row>
    <row r="10" spans="1:250" x14ac:dyDescent="0.2">
      <c r="A10" s="201"/>
      <c r="B10" s="202"/>
      <c r="C10" s="200"/>
      <c r="D10" s="167"/>
      <c r="E10" s="167"/>
      <c r="F10" s="167"/>
      <c r="G10" s="167"/>
      <c r="H10" s="167"/>
      <c r="I10" s="167"/>
      <c r="J10" s="167"/>
      <c r="K10" s="167"/>
      <c r="L10" s="198"/>
      <c r="M10" s="198"/>
      <c r="O10" s="237"/>
      <c r="P10" s="204" t="str">
        <f>A69</f>
        <v>Tāme sastādīta 2021. gada</v>
      </c>
    </row>
    <row r="11" spans="1:250" ht="12" thickBot="1" x14ac:dyDescent="0.25">
      <c r="A11" s="201"/>
      <c r="B11" s="202"/>
      <c r="C11" s="200"/>
      <c r="D11" s="167"/>
      <c r="E11" s="167"/>
      <c r="F11" s="167"/>
      <c r="G11" s="167"/>
      <c r="H11" s="167"/>
      <c r="I11" s="167"/>
      <c r="J11" s="167"/>
      <c r="K11" s="167"/>
      <c r="L11" s="205"/>
      <c r="M11" s="205"/>
      <c r="N11" s="206"/>
      <c r="O11" s="196"/>
      <c r="P11" s="167"/>
    </row>
    <row r="12" spans="1:250" x14ac:dyDescent="0.2">
      <c r="A12" s="346" t="s">
        <v>23</v>
      </c>
      <c r="B12" s="348" t="s">
        <v>40</v>
      </c>
      <c r="C12" s="343" t="s">
        <v>41</v>
      </c>
      <c r="D12" s="351" t="s">
        <v>42</v>
      </c>
      <c r="E12" s="355" t="s">
        <v>43</v>
      </c>
      <c r="F12" s="342" t="s">
        <v>44</v>
      </c>
      <c r="G12" s="343"/>
      <c r="H12" s="343"/>
      <c r="I12" s="343"/>
      <c r="J12" s="343"/>
      <c r="K12" s="344"/>
      <c r="L12" s="342" t="s">
        <v>45</v>
      </c>
      <c r="M12" s="343"/>
      <c r="N12" s="343"/>
      <c r="O12" s="343"/>
      <c r="P12" s="344"/>
    </row>
    <row r="13" spans="1:250" ht="66.75" thickBot="1" x14ac:dyDescent="0.25">
      <c r="A13" s="347"/>
      <c r="B13" s="349"/>
      <c r="C13" s="350"/>
      <c r="D13" s="352"/>
      <c r="E13" s="356"/>
      <c r="F13" s="207" t="s">
        <v>46</v>
      </c>
      <c r="G13" s="208" t="s">
        <v>47</v>
      </c>
      <c r="H13" s="208" t="s">
        <v>48</v>
      </c>
      <c r="I13" s="208" t="s">
        <v>49</v>
      </c>
      <c r="J13" s="208" t="s">
        <v>50</v>
      </c>
      <c r="K13" s="209" t="s">
        <v>51</v>
      </c>
      <c r="L13" s="207" t="s">
        <v>46</v>
      </c>
      <c r="M13" s="208" t="s">
        <v>48</v>
      </c>
      <c r="N13" s="208" t="s">
        <v>49</v>
      </c>
      <c r="O13" s="208" t="s">
        <v>50</v>
      </c>
      <c r="P13" s="209" t="s">
        <v>51</v>
      </c>
    </row>
    <row r="14" spans="1:250" x14ac:dyDescent="0.2">
      <c r="A14" s="258"/>
      <c r="B14" s="259"/>
      <c r="C14" s="260" t="s">
        <v>315</v>
      </c>
      <c r="D14" s="180"/>
      <c r="E14" s="180"/>
      <c r="F14" s="223"/>
      <c r="G14" s="261"/>
      <c r="H14" s="262"/>
      <c r="I14" s="263"/>
      <c r="J14" s="223"/>
      <c r="K14" s="264"/>
      <c r="L14" s="265"/>
      <c r="M14" s="265"/>
      <c r="N14" s="265"/>
      <c r="O14" s="265"/>
      <c r="P14" s="265"/>
    </row>
    <row r="15" spans="1:250" ht="22.5" x14ac:dyDescent="0.2">
      <c r="A15" s="266">
        <f>IF(COUNTBLANK(B15)=1," ",COUNTA($B$15:B15))</f>
        <v>1</v>
      </c>
      <c r="B15" s="153" t="s">
        <v>93</v>
      </c>
      <c r="C15" s="267" t="s">
        <v>316</v>
      </c>
      <c r="D15" s="168" t="s">
        <v>317</v>
      </c>
      <c r="E15" s="176">
        <f>0.2*0.3*1*5</f>
        <v>0.3</v>
      </c>
      <c r="F15" s="95"/>
      <c r="G15" s="98"/>
      <c r="H15" s="99"/>
      <c r="I15" s="100"/>
      <c r="J15" s="95"/>
      <c r="K15" s="268"/>
      <c r="L15" s="269"/>
      <c r="M15" s="269"/>
      <c r="N15" s="269"/>
      <c r="O15" s="269"/>
      <c r="P15" s="269"/>
    </row>
    <row r="16" spans="1:250" s="167" customFormat="1" ht="22.5" customHeight="1" x14ac:dyDescent="0.2">
      <c r="A16" s="266">
        <f>IF(COUNTBLANK(B16)=1," ",COUNTA($B$15:B16))</f>
        <v>2</v>
      </c>
      <c r="B16" s="153" t="s">
        <v>93</v>
      </c>
      <c r="C16" s="267" t="s">
        <v>318</v>
      </c>
      <c r="D16" s="168" t="s">
        <v>317</v>
      </c>
      <c r="E16" s="176">
        <f>0.2*0.4*0.7*5</f>
        <v>0.28000000000000003</v>
      </c>
      <c r="F16" s="95"/>
      <c r="G16" s="95"/>
      <c r="H16" s="95"/>
      <c r="I16" s="95"/>
      <c r="J16" s="95"/>
      <c r="K16" s="96"/>
      <c r="L16" s="97"/>
      <c r="M16" s="97"/>
      <c r="N16" s="97"/>
      <c r="O16" s="97"/>
      <c r="P16" s="97"/>
      <c r="Q16" s="175"/>
      <c r="R16" s="175"/>
      <c r="S16" s="175"/>
      <c r="T16" s="17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c r="BA16" s="55"/>
      <c r="BB16" s="55"/>
      <c r="BC16" s="55"/>
      <c r="BD16" s="55"/>
      <c r="BE16" s="55"/>
      <c r="BF16" s="55"/>
      <c r="BG16" s="55"/>
      <c r="BH16" s="55"/>
      <c r="BI16" s="55"/>
      <c r="BJ16" s="55"/>
      <c r="BK16" s="55"/>
      <c r="BL16" s="55"/>
      <c r="BM16" s="55"/>
      <c r="BN16" s="55"/>
      <c r="BO16" s="55"/>
      <c r="BP16" s="55"/>
      <c r="BQ16" s="55"/>
      <c r="BR16" s="55"/>
      <c r="BS16" s="55"/>
      <c r="BT16" s="55"/>
      <c r="BU16" s="55"/>
      <c r="BV16" s="55"/>
      <c r="BW16" s="55"/>
      <c r="BX16" s="55"/>
      <c r="BY16" s="55"/>
      <c r="BZ16" s="55"/>
      <c r="CA16" s="55"/>
      <c r="CB16" s="55"/>
      <c r="CC16" s="55"/>
      <c r="CD16" s="55"/>
      <c r="CE16" s="55"/>
      <c r="CF16" s="55"/>
      <c r="CG16" s="55"/>
      <c r="CH16" s="55"/>
      <c r="CI16" s="55"/>
      <c r="CJ16" s="55"/>
      <c r="CK16" s="55"/>
      <c r="CL16" s="55"/>
      <c r="CM16" s="55"/>
      <c r="CN16" s="55"/>
      <c r="CO16" s="55"/>
      <c r="CP16" s="55"/>
      <c r="CQ16" s="55"/>
      <c r="CR16" s="55"/>
      <c r="CS16" s="55"/>
      <c r="CT16" s="55"/>
      <c r="CU16" s="55"/>
      <c r="CV16" s="55"/>
      <c r="CW16" s="55"/>
      <c r="CX16" s="55"/>
      <c r="CY16" s="55"/>
      <c r="CZ16" s="55"/>
      <c r="DA16" s="55"/>
      <c r="DB16" s="55"/>
      <c r="DC16" s="55"/>
      <c r="DD16" s="55"/>
      <c r="DE16" s="55"/>
      <c r="DF16" s="55"/>
      <c r="DG16" s="55"/>
      <c r="DH16" s="55"/>
      <c r="DI16" s="55"/>
      <c r="DJ16" s="55"/>
      <c r="DK16" s="55"/>
      <c r="DL16" s="55"/>
      <c r="DM16" s="55"/>
      <c r="DN16" s="55"/>
      <c r="DO16" s="55"/>
      <c r="DP16" s="55"/>
      <c r="DQ16" s="55"/>
      <c r="DR16" s="55"/>
      <c r="DS16" s="55"/>
      <c r="DT16" s="55"/>
      <c r="DU16" s="55"/>
      <c r="DV16" s="55"/>
      <c r="DW16" s="55"/>
      <c r="DX16" s="55"/>
      <c r="DY16" s="55"/>
      <c r="DZ16" s="55"/>
      <c r="EA16" s="55"/>
      <c r="EB16" s="55"/>
      <c r="EC16" s="55"/>
      <c r="ED16" s="55"/>
      <c r="EE16" s="55"/>
      <c r="EF16" s="55"/>
      <c r="EG16" s="55"/>
      <c r="EH16" s="55"/>
      <c r="EI16" s="55"/>
      <c r="EJ16" s="55"/>
      <c r="EK16" s="55"/>
      <c r="EL16" s="55"/>
      <c r="EM16" s="55"/>
      <c r="EN16" s="55"/>
      <c r="EO16" s="55"/>
      <c r="EP16" s="55"/>
      <c r="EQ16" s="55"/>
      <c r="ER16" s="55"/>
      <c r="ES16" s="55"/>
      <c r="ET16" s="55"/>
      <c r="EU16" s="55"/>
      <c r="EV16" s="55"/>
      <c r="EW16" s="55"/>
      <c r="EX16" s="55"/>
      <c r="EY16" s="55"/>
      <c r="EZ16" s="55"/>
      <c r="FA16" s="55"/>
      <c r="FB16" s="55"/>
      <c r="FC16" s="55"/>
      <c r="FD16" s="55"/>
      <c r="FE16" s="55"/>
      <c r="FF16" s="55"/>
      <c r="FG16" s="55"/>
      <c r="FH16" s="55"/>
      <c r="FI16" s="55"/>
      <c r="FJ16" s="55"/>
      <c r="FK16" s="55"/>
      <c r="FL16" s="55"/>
      <c r="FM16" s="55"/>
      <c r="FN16" s="55"/>
      <c r="FO16" s="55"/>
      <c r="FP16" s="55"/>
      <c r="FQ16" s="55"/>
      <c r="FR16" s="55"/>
      <c r="FS16" s="55"/>
      <c r="FT16" s="55"/>
      <c r="FU16" s="55"/>
      <c r="FV16" s="55"/>
      <c r="FW16" s="55"/>
      <c r="FX16" s="55"/>
      <c r="FY16" s="55"/>
      <c r="FZ16" s="55"/>
      <c r="GA16" s="55"/>
      <c r="GB16" s="55"/>
      <c r="GC16" s="55"/>
      <c r="GD16" s="55"/>
      <c r="GE16" s="55"/>
      <c r="GF16" s="55"/>
      <c r="GG16" s="55"/>
      <c r="GH16" s="55"/>
      <c r="GI16" s="55"/>
      <c r="GJ16" s="55"/>
      <c r="GK16" s="55"/>
      <c r="GL16" s="55"/>
      <c r="GM16" s="55"/>
      <c r="GN16" s="55"/>
      <c r="GO16" s="55"/>
      <c r="GP16" s="55"/>
      <c r="GQ16" s="55"/>
      <c r="GR16" s="55"/>
      <c r="GS16" s="55"/>
      <c r="GT16" s="55"/>
      <c r="GU16" s="55"/>
      <c r="GV16" s="55"/>
      <c r="GW16" s="55"/>
      <c r="GX16" s="55"/>
      <c r="GY16" s="55"/>
      <c r="GZ16" s="55"/>
      <c r="HA16" s="55"/>
      <c r="HB16" s="55"/>
      <c r="HC16" s="55"/>
      <c r="HD16" s="55"/>
      <c r="HE16" s="55"/>
      <c r="HF16" s="55"/>
      <c r="HG16" s="55"/>
      <c r="HH16" s="55"/>
      <c r="HI16" s="55"/>
      <c r="HJ16" s="55"/>
      <c r="HK16" s="55"/>
      <c r="HL16" s="55"/>
      <c r="HM16" s="55"/>
      <c r="HN16" s="55"/>
      <c r="HO16" s="55"/>
      <c r="HP16" s="55"/>
      <c r="HQ16" s="55"/>
      <c r="HR16" s="55"/>
      <c r="HS16" s="55"/>
      <c r="HT16" s="55"/>
      <c r="HU16" s="55"/>
      <c r="HV16" s="55"/>
      <c r="HW16" s="55"/>
      <c r="HX16" s="55"/>
      <c r="HY16" s="55"/>
      <c r="HZ16" s="55"/>
      <c r="IA16" s="55"/>
      <c r="IB16" s="55"/>
      <c r="IC16" s="55"/>
      <c r="ID16" s="55"/>
      <c r="IE16" s="55"/>
      <c r="IF16" s="55"/>
      <c r="IG16" s="55"/>
      <c r="IH16" s="55"/>
      <c r="II16" s="55"/>
      <c r="IJ16" s="55"/>
      <c r="IK16" s="55"/>
      <c r="IL16" s="55"/>
      <c r="IM16" s="55"/>
      <c r="IN16" s="55"/>
      <c r="IO16" s="55"/>
      <c r="IP16" s="55"/>
    </row>
    <row r="17" spans="1:250" s="167" customFormat="1" ht="22.5" x14ac:dyDescent="0.2">
      <c r="A17" s="266">
        <f>IF(COUNTBLANK(B17)=1," ",COUNTA($B$15:B17))</f>
        <v>3</v>
      </c>
      <c r="B17" s="153" t="s">
        <v>93</v>
      </c>
      <c r="C17" s="267" t="s">
        <v>319</v>
      </c>
      <c r="D17" s="168" t="s">
        <v>97</v>
      </c>
      <c r="E17" s="178">
        <v>5</v>
      </c>
      <c r="F17" s="95"/>
      <c r="G17" s="95"/>
      <c r="H17" s="95"/>
      <c r="I17" s="95"/>
      <c r="J17" s="95"/>
      <c r="K17" s="96"/>
      <c r="L17" s="97"/>
      <c r="M17" s="97"/>
      <c r="N17" s="97"/>
      <c r="O17" s="97"/>
      <c r="P17" s="97"/>
      <c r="Q17" s="175"/>
      <c r="R17" s="175"/>
      <c r="S17" s="175"/>
      <c r="T17" s="175"/>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c r="CV17" s="56"/>
      <c r="CW17" s="56"/>
      <c r="CX17" s="56"/>
      <c r="CY17" s="56"/>
      <c r="CZ17" s="56"/>
      <c r="DA17" s="56"/>
      <c r="DB17" s="56"/>
      <c r="DC17" s="56"/>
      <c r="DD17" s="56"/>
      <c r="DE17" s="56"/>
      <c r="DF17" s="56"/>
      <c r="DG17" s="56"/>
      <c r="DH17" s="56"/>
      <c r="DI17" s="56"/>
      <c r="DJ17" s="56"/>
      <c r="DK17" s="56"/>
      <c r="DL17" s="56"/>
      <c r="DM17" s="56"/>
      <c r="DN17" s="56"/>
      <c r="DO17" s="56"/>
      <c r="DP17" s="56"/>
      <c r="DQ17" s="56"/>
      <c r="DR17" s="56"/>
      <c r="DS17" s="56"/>
      <c r="DT17" s="56"/>
      <c r="DU17" s="56"/>
      <c r="DV17" s="56"/>
      <c r="DW17" s="56"/>
      <c r="DX17" s="56"/>
      <c r="DY17" s="56"/>
      <c r="DZ17" s="56"/>
      <c r="EA17" s="56"/>
      <c r="EB17" s="56"/>
      <c r="EC17" s="56"/>
      <c r="ED17" s="56"/>
      <c r="EE17" s="56"/>
      <c r="EF17" s="56"/>
      <c r="EG17" s="56"/>
      <c r="EH17" s="56"/>
      <c r="EI17" s="56"/>
      <c r="EJ17" s="56"/>
      <c r="EK17" s="56"/>
      <c r="EL17" s="56"/>
      <c r="EM17" s="56"/>
      <c r="EN17" s="56"/>
      <c r="EO17" s="56"/>
      <c r="EP17" s="56"/>
      <c r="EQ17" s="56"/>
      <c r="ER17" s="56"/>
      <c r="ES17" s="56"/>
      <c r="ET17" s="56"/>
      <c r="EU17" s="56"/>
      <c r="EV17" s="56"/>
      <c r="EW17" s="56"/>
      <c r="EX17" s="56"/>
      <c r="EY17" s="56"/>
      <c r="EZ17" s="56"/>
      <c r="FA17" s="56"/>
      <c r="FB17" s="56"/>
      <c r="FC17" s="56"/>
      <c r="FD17" s="56"/>
      <c r="FE17" s="56"/>
      <c r="FF17" s="56"/>
      <c r="FG17" s="56"/>
      <c r="FH17" s="56"/>
      <c r="FI17" s="56"/>
      <c r="FJ17" s="56"/>
      <c r="FK17" s="56"/>
      <c r="FL17" s="56"/>
      <c r="FM17" s="56"/>
      <c r="FN17" s="56"/>
      <c r="FO17" s="56"/>
      <c r="FP17" s="56"/>
      <c r="FQ17" s="56"/>
      <c r="FR17" s="56"/>
      <c r="FS17" s="56"/>
      <c r="FT17" s="56"/>
      <c r="FU17" s="56"/>
      <c r="FV17" s="56"/>
      <c r="FW17" s="56"/>
      <c r="FX17" s="56"/>
      <c r="FY17" s="56"/>
      <c r="FZ17" s="56"/>
      <c r="GA17" s="56"/>
      <c r="GB17" s="56"/>
      <c r="GC17" s="56"/>
      <c r="GD17" s="56"/>
      <c r="GE17" s="56"/>
      <c r="GF17" s="56"/>
      <c r="GG17" s="56"/>
      <c r="GH17" s="56"/>
      <c r="GI17" s="56"/>
      <c r="GJ17" s="56"/>
      <c r="GK17" s="56"/>
      <c r="GL17" s="56"/>
      <c r="GM17" s="56"/>
      <c r="GN17" s="56"/>
      <c r="GO17" s="56"/>
      <c r="GP17" s="56"/>
      <c r="GQ17" s="56"/>
      <c r="GR17" s="56"/>
      <c r="GS17" s="56"/>
      <c r="GT17" s="56"/>
      <c r="GU17" s="56"/>
      <c r="GV17" s="56"/>
      <c r="GW17" s="56"/>
      <c r="GX17" s="56"/>
      <c r="GY17" s="56"/>
      <c r="GZ17" s="56"/>
      <c r="HA17" s="56"/>
      <c r="HB17" s="56"/>
      <c r="HC17" s="56"/>
      <c r="HD17" s="56"/>
      <c r="HE17" s="56"/>
      <c r="HF17" s="56"/>
      <c r="HG17" s="56"/>
      <c r="HH17" s="56"/>
      <c r="HI17" s="56"/>
      <c r="HJ17" s="56"/>
      <c r="HK17" s="56"/>
      <c r="HL17" s="56"/>
      <c r="HM17" s="56"/>
      <c r="HN17" s="56"/>
      <c r="HO17" s="56"/>
      <c r="HP17" s="56"/>
      <c r="HQ17" s="56"/>
      <c r="HR17" s="56"/>
      <c r="HS17" s="56"/>
      <c r="HT17" s="56"/>
      <c r="HU17" s="56"/>
      <c r="HV17" s="56"/>
      <c r="HW17" s="56"/>
      <c r="HX17" s="56"/>
      <c r="HY17" s="56"/>
      <c r="HZ17" s="56"/>
      <c r="IA17" s="56"/>
      <c r="IB17" s="56"/>
      <c r="IC17" s="56"/>
      <c r="ID17" s="56"/>
      <c r="IE17" s="56"/>
      <c r="IF17" s="56"/>
      <c r="IG17" s="56"/>
      <c r="IH17" s="56"/>
      <c r="II17" s="56"/>
      <c r="IJ17" s="56"/>
      <c r="IK17" s="56"/>
      <c r="IL17" s="56"/>
      <c r="IM17" s="56"/>
      <c r="IN17" s="56"/>
      <c r="IO17" s="56"/>
      <c r="IP17" s="56"/>
    </row>
    <row r="18" spans="1:250" s="167" customFormat="1" ht="22.5" x14ac:dyDescent="0.2">
      <c r="A18" s="266">
        <f>IF(COUNTBLANK(B18)=1," ",COUNTA($B$15:B18))</f>
        <v>4</v>
      </c>
      <c r="B18" s="153" t="s">
        <v>93</v>
      </c>
      <c r="C18" s="267" t="s">
        <v>320</v>
      </c>
      <c r="D18" s="168" t="s">
        <v>100</v>
      </c>
      <c r="E18" s="176">
        <v>857</v>
      </c>
      <c r="F18" s="95"/>
      <c r="G18" s="95"/>
      <c r="H18" s="95"/>
      <c r="I18" s="95"/>
      <c r="J18" s="95"/>
      <c r="K18" s="96"/>
      <c r="L18" s="97"/>
      <c r="M18" s="97"/>
      <c r="N18" s="97"/>
      <c r="O18" s="97"/>
      <c r="P18" s="97"/>
      <c r="Q18" s="175"/>
      <c r="R18" s="175"/>
      <c r="S18" s="175"/>
      <c r="T18" s="175"/>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c r="FC18" s="57"/>
      <c r="FD18" s="57"/>
      <c r="FE18" s="57"/>
      <c r="FF18" s="57"/>
      <c r="FG18" s="57"/>
      <c r="FH18" s="57"/>
      <c r="FI18" s="57"/>
      <c r="FJ18" s="57"/>
      <c r="FK18" s="57"/>
      <c r="FL18" s="57"/>
      <c r="FM18" s="57"/>
      <c r="FN18" s="57"/>
      <c r="FO18" s="57"/>
      <c r="FP18" s="57"/>
      <c r="FQ18" s="57"/>
      <c r="FR18" s="57"/>
      <c r="FS18" s="57"/>
      <c r="FT18" s="57"/>
      <c r="FU18" s="57"/>
      <c r="FV18" s="57"/>
      <c r="FW18" s="57"/>
      <c r="FX18" s="57"/>
      <c r="FY18" s="57"/>
      <c r="FZ18" s="57"/>
      <c r="GA18" s="57"/>
      <c r="GB18" s="57"/>
      <c r="GC18" s="57"/>
      <c r="GD18" s="57"/>
      <c r="GE18" s="57"/>
      <c r="GF18" s="57"/>
      <c r="GG18" s="57"/>
      <c r="GH18" s="57"/>
      <c r="GI18" s="57"/>
      <c r="GJ18" s="57"/>
      <c r="GK18" s="57"/>
      <c r="GL18" s="57"/>
      <c r="GM18" s="57"/>
      <c r="GN18" s="57"/>
      <c r="GO18" s="57"/>
      <c r="GP18" s="57"/>
      <c r="GQ18" s="57"/>
      <c r="GR18" s="57"/>
      <c r="GS18" s="57"/>
      <c r="GT18" s="57"/>
      <c r="GU18" s="57"/>
      <c r="GV18" s="57"/>
      <c r="GW18" s="57"/>
      <c r="GX18" s="57"/>
      <c r="GY18" s="57"/>
      <c r="GZ18" s="57"/>
      <c r="HA18" s="57"/>
      <c r="HB18" s="57"/>
      <c r="HC18" s="57"/>
      <c r="HD18" s="57"/>
      <c r="HE18" s="57"/>
      <c r="HF18" s="57"/>
      <c r="HG18" s="57"/>
      <c r="HH18" s="57"/>
      <c r="HI18" s="57"/>
      <c r="HJ18" s="57"/>
      <c r="HK18" s="57"/>
      <c r="HL18" s="57"/>
      <c r="HM18" s="57"/>
      <c r="HN18" s="57"/>
      <c r="HO18" s="57"/>
      <c r="HP18" s="57"/>
      <c r="HQ18" s="57"/>
      <c r="HR18" s="57"/>
      <c r="HS18" s="57"/>
      <c r="HT18" s="57"/>
      <c r="HU18" s="57"/>
      <c r="HV18" s="57"/>
      <c r="HW18" s="57"/>
      <c r="HX18" s="57"/>
      <c r="HY18" s="57"/>
      <c r="HZ18" s="57"/>
      <c r="IA18" s="57"/>
      <c r="IB18" s="57"/>
      <c r="IC18" s="57"/>
      <c r="ID18" s="57"/>
      <c r="IE18" s="57"/>
      <c r="IF18" s="57"/>
      <c r="IG18" s="57"/>
      <c r="IH18" s="57"/>
      <c r="II18" s="57"/>
      <c r="IJ18" s="57"/>
      <c r="IK18" s="57"/>
      <c r="IL18" s="57"/>
      <c r="IM18" s="57"/>
      <c r="IN18" s="57"/>
      <c r="IO18" s="57"/>
      <c r="IP18" s="57"/>
    </row>
    <row r="19" spans="1:250" ht="22.5" x14ac:dyDescent="0.2">
      <c r="A19" s="266">
        <f>IF(COUNTBLANK(B19)=1," ",COUNTA($B$15:B19))</f>
        <v>5</v>
      </c>
      <c r="B19" s="153" t="s">
        <v>93</v>
      </c>
      <c r="C19" s="267" t="s">
        <v>479</v>
      </c>
      <c r="D19" s="168" t="s">
        <v>100</v>
      </c>
      <c r="E19" s="176">
        <f>E18*1.15</f>
        <v>985.55</v>
      </c>
      <c r="F19" s="95"/>
      <c r="G19" s="98"/>
      <c r="H19" s="99"/>
      <c r="I19" s="100"/>
      <c r="J19" s="95"/>
      <c r="K19" s="268"/>
      <c r="L19" s="269"/>
      <c r="M19" s="269"/>
      <c r="N19" s="269"/>
      <c r="O19" s="269"/>
      <c r="P19" s="269"/>
      <c r="Q19" s="175"/>
      <c r="R19" s="175"/>
      <c r="S19" s="175"/>
      <c r="T19" s="175"/>
    </row>
    <row r="20" spans="1:250" ht="24" x14ac:dyDescent="0.2">
      <c r="A20" s="266">
        <f>IF(COUNTBLANK(B20)=1," ",COUNTA($B$15:B20))</f>
        <v>6</v>
      </c>
      <c r="B20" s="153" t="s">
        <v>93</v>
      </c>
      <c r="C20" s="267" t="s">
        <v>559</v>
      </c>
      <c r="D20" s="168" t="s">
        <v>120</v>
      </c>
      <c r="E20" s="270">
        <f>E18*0.35*1.15</f>
        <v>344.94249999999994</v>
      </c>
      <c r="F20" s="95"/>
      <c r="G20" s="98"/>
      <c r="H20" s="99"/>
      <c r="I20" s="100"/>
      <c r="J20" s="95"/>
      <c r="K20" s="268"/>
      <c r="L20" s="269"/>
      <c r="M20" s="269"/>
      <c r="N20" s="269"/>
      <c r="O20" s="269"/>
      <c r="P20" s="269"/>
    </row>
    <row r="21" spans="1:250" ht="22.5" x14ac:dyDescent="0.2">
      <c r="A21" s="266">
        <f>IF(COUNTBLANK(B21)=1," ",COUNTA($B$15:B21))</f>
        <v>7</v>
      </c>
      <c r="B21" s="153" t="s">
        <v>93</v>
      </c>
      <c r="C21" s="267" t="s">
        <v>321</v>
      </c>
      <c r="D21" s="168" t="s">
        <v>97</v>
      </c>
      <c r="E21" s="178">
        <v>91</v>
      </c>
      <c r="F21" s="95"/>
      <c r="G21" s="98"/>
      <c r="H21" s="99"/>
      <c r="I21" s="100"/>
      <c r="J21" s="95"/>
      <c r="K21" s="268"/>
      <c r="L21" s="269"/>
      <c r="M21" s="269"/>
      <c r="N21" s="269"/>
      <c r="O21" s="269"/>
      <c r="P21" s="269"/>
    </row>
    <row r="22" spans="1:250" ht="22.5" x14ac:dyDescent="0.2">
      <c r="A22" s="266">
        <f>IF(COUNTBLANK(B22)=1," ",COUNTA($B$15:B22))</f>
        <v>8</v>
      </c>
      <c r="B22" s="153" t="s">
        <v>93</v>
      </c>
      <c r="C22" s="62" t="s">
        <v>322</v>
      </c>
      <c r="D22" s="168" t="s">
        <v>120</v>
      </c>
      <c r="E22" s="176">
        <f>0.075*0.125*328</f>
        <v>3.0749999999999997</v>
      </c>
      <c r="F22" s="95"/>
      <c r="G22" s="98"/>
      <c r="H22" s="99"/>
      <c r="I22" s="100"/>
      <c r="J22" s="95"/>
      <c r="K22" s="268"/>
      <c r="L22" s="269"/>
      <c r="M22" s="269"/>
      <c r="N22" s="269"/>
      <c r="O22" s="269"/>
      <c r="P22" s="269"/>
    </row>
    <row r="23" spans="1:250" ht="22.5" x14ac:dyDescent="0.2">
      <c r="A23" s="266">
        <f>IF(COUNTBLANK(B23)=1," ",COUNTA($B$15:B23))</f>
        <v>9</v>
      </c>
      <c r="B23" s="153" t="s">
        <v>93</v>
      </c>
      <c r="C23" s="62" t="s">
        <v>323</v>
      </c>
      <c r="D23" s="168" t="s">
        <v>120</v>
      </c>
      <c r="E23" s="176">
        <f>0.025*0.13*819</f>
        <v>2.6617500000000001</v>
      </c>
      <c r="F23" s="75"/>
      <c r="G23" s="75"/>
      <c r="H23" s="271"/>
      <c r="I23" s="75"/>
      <c r="J23" s="75"/>
      <c r="K23" s="268"/>
      <c r="L23" s="269"/>
      <c r="M23" s="269"/>
      <c r="N23" s="269"/>
      <c r="O23" s="269"/>
      <c r="P23" s="269"/>
      <c r="R23" s="193" t="s">
        <v>541</v>
      </c>
    </row>
    <row r="24" spans="1:250" ht="22.5" x14ac:dyDescent="0.2">
      <c r="A24" s="266">
        <f>IF(COUNTBLANK(B24)=1," ",COUNTA($B$15:B24))</f>
        <v>10</v>
      </c>
      <c r="B24" s="153" t="s">
        <v>93</v>
      </c>
      <c r="C24" s="62" t="s">
        <v>480</v>
      </c>
      <c r="D24" s="168" t="s">
        <v>120</v>
      </c>
      <c r="E24" s="176">
        <f>0.2*0.3*0.3*364</f>
        <v>6.5519999999999996</v>
      </c>
      <c r="F24" s="75"/>
      <c r="G24" s="75"/>
      <c r="H24" s="271"/>
      <c r="I24" s="75"/>
      <c r="J24" s="75"/>
      <c r="K24" s="268"/>
      <c r="L24" s="269"/>
      <c r="M24" s="269"/>
      <c r="N24" s="269"/>
      <c r="O24" s="269"/>
      <c r="P24" s="269"/>
    </row>
    <row r="25" spans="1:250" ht="22.5" x14ac:dyDescent="0.2">
      <c r="A25" s="266">
        <f>IF(COUNTBLANK(B25)=1," ",COUNTA($B$15:B25))</f>
        <v>11</v>
      </c>
      <c r="B25" s="153" t="s">
        <v>93</v>
      </c>
      <c r="C25" s="62" t="s">
        <v>324</v>
      </c>
      <c r="D25" s="168" t="s">
        <v>100</v>
      </c>
      <c r="E25" s="178">
        <f>0.2*0.3*364</f>
        <v>21.84</v>
      </c>
      <c r="F25" s="75"/>
      <c r="G25" s="75"/>
      <c r="H25" s="271"/>
      <c r="I25" s="75"/>
      <c r="J25" s="75"/>
      <c r="K25" s="268"/>
      <c r="L25" s="269"/>
      <c r="M25" s="269"/>
      <c r="N25" s="269"/>
      <c r="O25" s="269"/>
      <c r="P25" s="269"/>
    </row>
    <row r="26" spans="1:250" ht="22.5" x14ac:dyDescent="0.2">
      <c r="A26" s="266">
        <f>IF(COUNTBLANK(B26)=1," ",COUNTA($B$15:B26))</f>
        <v>12</v>
      </c>
      <c r="B26" s="153" t="s">
        <v>93</v>
      </c>
      <c r="C26" s="62" t="s">
        <v>551</v>
      </c>
      <c r="D26" s="168" t="s">
        <v>100</v>
      </c>
      <c r="E26" s="176">
        <f>10*5</f>
        <v>50</v>
      </c>
      <c r="F26" s="75"/>
      <c r="G26" s="75"/>
      <c r="H26" s="271"/>
      <c r="I26" s="75"/>
      <c r="J26" s="75"/>
      <c r="K26" s="268"/>
      <c r="L26" s="269"/>
      <c r="M26" s="269"/>
      <c r="N26" s="269"/>
      <c r="O26" s="269"/>
      <c r="P26" s="269"/>
    </row>
    <row r="27" spans="1:250" ht="24" x14ac:dyDescent="0.2">
      <c r="A27" s="266">
        <f>IF(COUNTBLANK(B27)=1," ",COUNTA($B$15:B27))</f>
        <v>13</v>
      </c>
      <c r="B27" s="153" t="s">
        <v>93</v>
      </c>
      <c r="C27" s="267" t="s">
        <v>560</v>
      </c>
      <c r="D27" s="168" t="s">
        <v>100</v>
      </c>
      <c r="E27" s="176">
        <f t="shared" ref="E27:E30" si="0">10*5</f>
        <v>50</v>
      </c>
      <c r="F27" s="75"/>
      <c r="G27" s="75"/>
      <c r="H27" s="271"/>
      <c r="I27" s="75"/>
      <c r="J27" s="75"/>
      <c r="K27" s="268"/>
      <c r="L27" s="269"/>
      <c r="M27" s="269"/>
      <c r="N27" s="269"/>
      <c r="O27" s="269"/>
      <c r="P27" s="269"/>
    </row>
    <row r="28" spans="1:250" ht="24" x14ac:dyDescent="0.2">
      <c r="A28" s="266">
        <f>IF(COUNTBLANK(B28)=1," ",COUNTA($B$15:B28))</f>
        <v>14</v>
      </c>
      <c r="B28" s="153" t="s">
        <v>93</v>
      </c>
      <c r="C28" s="267" t="s">
        <v>561</v>
      </c>
      <c r="D28" s="168" t="s">
        <v>100</v>
      </c>
      <c r="E28" s="176">
        <f t="shared" si="0"/>
        <v>50</v>
      </c>
      <c r="F28" s="75"/>
      <c r="G28" s="75"/>
      <c r="H28" s="271"/>
      <c r="I28" s="75"/>
      <c r="J28" s="75"/>
      <c r="K28" s="268"/>
      <c r="L28" s="269"/>
      <c r="M28" s="269"/>
      <c r="N28" s="269"/>
      <c r="O28" s="269"/>
      <c r="P28" s="269"/>
    </row>
    <row r="29" spans="1:250" ht="24" x14ac:dyDescent="0.2">
      <c r="A29" s="266">
        <f>IF(COUNTBLANK(B29)=1," ",COUNTA($B$15:B29))</f>
        <v>15</v>
      </c>
      <c r="B29" s="153" t="s">
        <v>93</v>
      </c>
      <c r="C29" s="267" t="s">
        <v>562</v>
      </c>
      <c r="D29" s="168" t="s">
        <v>100</v>
      </c>
      <c r="E29" s="176">
        <f t="shared" si="0"/>
        <v>50</v>
      </c>
      <c r="F29" s="75"/>
      <c r="G29" s="75"/>
      <c r="H29" s="271"/>
      <c r="I29" s="75"/>
      <c r="J29" s="75"/>
      <c r="K29" s="268"/>
      <c r="L29" s="269"/>
      <c r="M29" s="269"/>
      <c r="N29" s="269"/>
      <c r="O29" s="269"/>
      <c r="P29" s="269"/>
    </row>
    <row r="30" spans="1:250" x14ac:dyDescent="0.2">
      <c r="A30" s="266">
        <f>IF(COUNTBLANK(B30)=1," ",COUNTA($B$15:B30))</f>
        <v>16</v>
      </c>
      <c r="B30" s="153" t="s">
        <v>93</v>
      </c>
      <c r="C30" s="267" t="s">
        <v>544</v>
      </c>
      <c r="D30" s="168" t="s">
        <v>100</v>
      </c>
      <c r="E30" s="176">
        <f t="shared" si="0"/>
        <v>50</v>
      </c>
      <c r="F30" s="75"/>
      <c r="G30" s="75"/>
      <c r="H30" s="271"/>
      <c r="I30" s="75"/>
      <c r="J30" s="75"/>
      <c r="K30" s="268"/>
      <c r="L30" s="269"/>
      <c r="M30" s="269"/>
      <c r="N30" s="269"/>
      <c r="O30" s="269"/>
      <c r="P30" s="269"/>
    </row>
    <row r="31" spans="1:250" ht="22.5" x14ac:dyDescent="0.2">
      <c r="A31" s="266">
        <f>IF(COUNTBLANK(B31)=1," ",COUNTA($B$15:B31))</f>
        <v>17</v>
      </c>
      <c r="B31" s="153" t="s">
        <v>93</v>
      </c>
      <c r="C31" s="62" t="s">
        <v>325</v>
      </c>
      <c r="D31" s="168" t="s">
        <v>100</v>
      </c>
      <c r="E31" s="176">
        <f>24.2*5</f>
        <v>121</v>
      </c>
      <c r="F31" s="95"/>
      <c r="G31" s="98"/>
      <c r="H31" s="99"/>
      <c r="I31" s="100"/>
      <c r="J31" s="95"/>
      <c r="K31" s="268"/>
      <c r="L31" s="269"/>
      <c r="M31" s="269"/>
      <c r="N31" s="269"/>
      <c r="O31" s="269"/>
      <c r="P31" s="269"/>
    </row>
    <row r="32" spans="1:250" ht="22.5" x14ac:dyDescent="0.2">
      <c r="A32" s="266">
        <f>IF(COUNTBLANK(B32)=1," ",COUNTA($B$15:B32))</f>
        <v>18</v>
      </c>
      <c r="B32" s="153" t="s">
        <v>93</v>
      </c>
      <c r="C32" s="272" t="s">
        <v>326</v>
      </c>
      <c r="D32" s="168" t="s">
        <v>100</v>
      </c>
      <c r="E32" s="176">
        <f>1.32*0.7*30</f>
        <v>27.72</v>
      </c>
      <c r="F32" s="95"/>
      <c r="G32" s="98"/>
      <c r="H32" s="99"/>
      <c r="I32" s="100"/>
      <c r="J32" s="95"/>
      <c r="K32" s="268"/>
      <c r="L32" s="269"/>
      <c r="M32" s="269"/>
      <c r="N32" s="269"/>
      <c r="O32" s="269"/>
      <c r="P32" s="269"/>
    </row>
    <row r="33" spans="1:16" s="93" customFormat="1" ht="22.5" x14ac:dyDescent="0.2">
      <c r="A33" s="266">
        <f>IF(COUNTBLANK(B33)=1," ",COUNTA($B$15:B33))</f>
        <v>19</v>
      </c>
      <c r="B33" s="153" t="s">
        <v>93</v>
      </c>
      <c r="C33" s="272" t="s">
        <v>327</v>
      </c>
      <c r="D33" s="168" t="s">
        <v>100</v>
      </c>
      <c r="E33" s="176">
        <f>0.94*0.7*5</f>
        <v>3.2899999999999996</v>
      </c>
      <c r="F33" s="95"/>
      <c r="G33" s="98"/>
      <c r="H33" s="99"/>
      <c r="I33" s="100"/>
      <c r="J33" s="95"/>
      <c r="K33" s="95"/>
      <c r="L33" s="269"/>
      <c r="M33" s="269"/>
      <c r="N33" s="269"/>
      <c r="O33" s="269"/>
      <c r="P33" s="269"/>
    </row>
    <row r="34" spans="1:16" s="94" customFormat="1" x14ac:dyDescent="0.2">
      <c r="A34" s="266" t="str">
        <f>IF(COUNTBLANK(B34)=1," ",COUNTA($B$15:B34))</f>
        <v xml:space="preserve"> </v>
      </c>
      <c r="B34" s="101"/>
      <c r="C34" s="273" t="s">
        <v>328</v>
      </c>
      <c r="D34" s="168"/>
      <c r="E34" s="176"/>
      <c r="F34" s="95"/>
      <c r="G34" s="95"/>
      <c r="H34" s="95"/>
      <c r="I34" s="100"/>
      <c r="J34" s="95"/>
      <c r="K34" s="95"/>
      <c r="L34" s="269"/>
      <c r="M34" s="269"/>
      <c r="N34" s="269"/>
      <c r="O34" s="269"/>
      <c r="P34" s="269"/>
    </row>
    <row r="35" spans="1:16" s="94" customFormat="1" ht="22.5" x14ac:dyDescent="0.2">
      <c r="A35" s="266">
        <f>IF(COUNTBLANK(B35)=1," ",COUNTA($B$15:B35))</f>
        <v>20</v>
      </c>
      <c r="B35" s="153" t="s">
        <v>93</v>
      </c>
      <c r="C35" s="272" t="s">
        <v>329</v>
      </c>
      <c r="D35" s="109" t="s">
        <v>97</v>
      </c>
      <c r="E35" s="178">
        <v>30</v>
      </c>
      <c r="F35" s="95"/>
      <c r="G35" s="95"/>
      <c r="H35" s="95"/>
      <c r="I35" s="100"/>
      <c r="J35" s="95"/>
      <c r="K35" s="95"/>
      <c r="L35" s="269"/>
      <c r="M35" s="269"/>
      <c r="N35" s="269"/>
      <c r="O35" s="269"/>
      <c r="P35" s="269"/>
    </row>
    <row r="36" spans="1:16" s="58" customFormat="1" ht="22.5" x14ac:dyDescent="0.2">
      <c r="A36" s="266">
        <f>IF(COUNTBLANK(B36)=1," ",COUNTA($B$15:B36))</f>
        <v>21</v>
      </c>
      <c r="B36" s="153" t="s">
        <v>93</v>
      </c>
      <c r="C36" s="272" t="s">
        <v>330</v>
      </c>
      <c r="D36" s="109" t="s">
        <v>107</v>
      </c>
      <c r="E36" s="176">
        <f>0.004*0.04*64.8*7800</f>
        <v>80.870400000000004</v>
      </c>
      <c r="F36" s="95"/>
      <c r="G36" s="95"/>
      <c r="H36" s="95"/>
      <c r="I36" s="100"/>
      <c r="J36" s="95"/>
      <c r="K36" s="95"/>
      <c r="L36" s="269"/>
      <c r="M36" s="269"/>
      <c r="N36" s="269"/>
      <c r="O36" s="269"/>
      <c r="P36" s="269"/>
    </row>
    <row r="37" spans="1:16" ht="22.5" x14ac:dyDescent="0.2">
      <c r="A37" s="266">
        <f>IF(COUNTBLANK(B37)=1," ",COUNTA($B$15:B37))</f>
        <v>22</v>
      </c>
      <c r="B37" s="153" t="s">
        <v>93</v>
      </c>
      <c r="C37" s="272" t="s">
        <v>331</v>
      </c>
      <c r="D37" s="109" t="s">
        <v>97</v>
      </c>
      <c r="E37" s="178">
        <f>120*2</f>
        <v>240</v>
      </c>
      <c r="F37" s="95"/>
      <c r="G37" s="98"/>
      <c r="H37" s="99"/>
      <c r="I37" s="100"/>
      <c r="J37" s="95"/>
      <c r="K37" s="268"/>
      <c r="L37" s="269"/>
      <c r="M37" s="269"/>
      <c r="N37" s="269"/>
      <c r="O37" s="269"/>
      <c r="P37" s="269"/>
    </row>
    <row r="38" spans="1:16" ht="22.5" x14ac:dyDescent="0.2">
      <c r="A38" s="266">
        <f>IF(COUNTBLANK(B38)=1," ",COUNTA($B$15:B38))</f>
        <v>23</v>
      </c>
      <c r="B38" s="153" t="s">
        <v>93</v>
      </c>
      <c r="C38" s="272" t="s">
        <v>332</v>
      </c>
      <c r="D38" s="109" t="s">
        <v>107</v>
      </c>
      <c r="E38" s="176">
        <f>0.004*0.05*75*7800</f>
        <v>117.00000000000001</v>
      </c>
      <c r="F38" s="75"/>
      <c r="G38" s="98"/>
      <c r="H38" s="271"/>
      <c r="I38" s="100"/>
      <c r="J38" s="95"/>
      <c r="K38" s="268"/>
      <c r="L38" s="269"/>
      <c r="M38" s="269"/>
      <c r="N38" s="269"/>
      <c r="O38" s="269"/>
      <c r="P38" s="269"/>
    </row>
    <row r="39" spans="1:16" ht="22.5" x14ac:dyDescent="0.2">
      <c r="A39" s="266">
        <f>IF(COUNTBLANK(B39)=1," ",COUNTA($B$15:B39))</f>
        <v>24</v>
      </c>
      <c r="B39" s="153" t="s">
        <v>93</v>
      </c>
      <c r="C39" s="272" t="s">
        <v>333</v>
      </c>
      <c r="D39" s="109" t="s">
        <v>107</v>
      </c>
      <c r="E39" s="176">
        <f>0.004*0.04*44.4*7800</f>
        <v>55.411200000000001</v>
      </c>
      <c r="F39" s="75"/>
      <c r="G39" s="98"/>
      <c r="H39" s="271"/>
      <c r="I39" s="95"/>
      <c r="J39" s="75"/>
      <c r="K39" s="268"/>
      <c r="L39" s="269"/>
      <c r="M39" s="269"/>
      <c r="N39" s="269"/>
      <c r="O39" s="269"/>
      <c r="P39" s="269"/>
    </row>
    <row r="40" spans="1:16" x14ac:dyDescent="0.2">
      <c r="A40" s="266">
        <f>IF(COUNTBLANK(B40)=1," ",COUNTA($B$15:B40))</f>
        <v>25</v>
      </c>
      <c r="B40" s="153" t="s">
        <v>93</v>
      </c>
      <c r="C40" s="272" t="s">
        <v>334</v>
      </c>
      <c r="D40" s="109" t="s">
        <v>97</v>
      </c>
      <c r="E40" s="178">
        <v>60</v>
      </c>
      <c r="F40" s="75"/>
      <c r="G40" s="98"/>
      <c r="H40" s="271"/>
      <c r="I40" s="95"/>
      <c r="J40" s="75"/>
      <c r="K40" s="268"/>
      <c r="L40" s="269"/>
      <c r="M40" s="269"/>
      <c r="N40" s="269"/>
      <c r="O40" s="269"/>
      <c r="P40" s="269"/>
    </row>
    <row r="41" spans="1:16" ht="22.5" x14ac:dyDescent="0.2">
      <c r="A41" s="266">
        <f>IF(COUNTBLANK(B41)=1," ",COUNTA($B$15:B41))</f>
        <v>26</v>
      </c>
      <c r="B41" s="153" t="s">
        <v>93</v>
      </c>
      <c r="C41" s="272" t="s">
        <v>335</v>
      </c>
      <c r="D41" s="109" t="s">
        <v>95</v>
      </c>
      <c r="E41" s="176">
        <f>1.32*30</f>
        <v>39.6</v>
      </c>
      <c r="F41" s="75"/>
      <c r="G41" s="98"/>
      <c r="H41" s="271"/>
      <c r="I41" s="95"/>
      <c r="J41" s="75"/>
      <c r="K41" s="268"/>
      <c r="L41" s="269"/>
      <c r="M41" s="269"/>
      <c r="N41" s="269"/>
      <c r="O41" s="269"/>
      <c r="P41" s="269"/>
    </row>
    <row r="42" spans="1:16" x14ac:dyDescent="0.2">
      <c r="A42" s="266">
        <f>IF(COUNTBLANK(B42)=1," ",COUNTA($B$15:B42))</f>
        <v>27</v>
      </c>
      <c r="B42" s="153" t="s">
        <v>93</v>
      </c>
      <c r="C42" s="272" t="s">
        <v>336</v>
      </c>
      <c r="D42" s="109" t="s">
        <v>100</v>
      </c>
      <c r="E42" s="176">
        <f>1*30</f>
        <v>30</v>
      </c>
      <c r="F42" s="75"/>
      <c r="G42" s="98"/>
      <c r="H42" s="271"/>
      <c r="I42" s="95"/>
      <c r="J42" s="75"/>
      <c r="K42" s="268"/>
      <c r="L42" s="269"/>
      <c r="M42" s="269"/>
      <c r="N42" s="269"/>
      <c r="O42" s="269"/>
      <c r="P42" s="269"/>
    </row>
    <row r="43" spans="1:16" x14ac:dyDescent="0.2">
      <c r="A43" s="266">
        <f>IF(COUNTBLANK(B43)=1," ",COUNTA($B$15:B43))</f>
        <v>28</v>
      </c>
      <c r="B43" s="153" t="s">
        <v>93</v>
      </c>
      <c r="C43" s="272" t="s">
        <v>337</v>
      </c>
      <c r="D43" s="109" t="s">
        <v>100</v>
      </c>
      <c r="E43" s="176">
        <v>21</v>
      </c>
      <c r="F43" s="75"/>
      <c r="G43" s="98"/>
      <c r="H43" s="271"/>
      <c r="I43" s="95"/>
      <c r="J43" s="75"/>
      <c r="K43" s="268"/>
      <c r="L43" s="269"/>
      <c r="M43" s="269"/>
      <c r="N43" s="269"/>
      <c r="O43" s="269"/>
      <c r="P43" s="269"/>
    </row>
    <row r="44" spans="1:16" ht="22.5" x14ac:dyDescent="0.2">
      <c r="A44" s="266">
        <f>IF(COUNTBLANK(B44)=1," ",COUNTA($B$15:B44))</f>
        <v>29</v>
      </c>
      <c r="B44" s="153" t="s">
        <v>93</v>
      </c>
      <c r="C44" s="272" t="s">
        <v>338</v>
      </c>
      <c r="D44" s="109" t="s">
        <v>97</v>
      </c>
      <c r="E44" s="178">
        <v>30</v>
      </c>
      <c r="F44" s="75"/>
      <c r="G44" s="98"/>
      <c r="H44" s="271"/>
      <c r="I44" s="95"/>
      <c r="J44" s="75"/>
      <c r="K44" s="268"/>
      <c r="L44" s="269"/>
      <c r="M44" s="269"/>
      <c r="N44" s="269"/>
      <c r="O44" s="269"/>
      <c r="P44" s="269"/>
    </row>
    <row r="45" spans="1:16" ht="22.5" x14ac:dyDescent="0.2">
      <c r="A45" s="266">
        <f>IF(COUNTBLANK(B45)=1," ",COUNTA($B$15:B45))</f>
        <v>30</v>
      </c>
      <c r="B45" s="153" t="s">
        <v>93</v>
      </c>
      <c r="C45" s="272" t="s">
        <v>339</v>
      </c>
      <c r="D45" s="109" t="s">
        <v>107</v>
      </c>
      <c r="E45" s="176">
        <f>0.004*0.04*10.8*7800</f>
        <v>13.478400000000001</v>
      </c>
      <c r="F45" s="75"/>
      <c r="G45" s="98"/>
      <c r="H45" s="271"/>
      <c r="I45" s="95"/>
      <c r="J45" s="75"/>
      <c r="K45" s="268"/>
      <c r="L45" s="269"/>
      <c r="M45" s="269"/>
      <c r="N45" s="269"/>
      <c r="O45" s="269"/>
      <c r="P45" s="269"/>
    </row>
    <row r="46" spans="1:16" ht="22.5" x14ac:dyDescent="0.2">
      <c r="A46" s="266">
        <f>IF(COUNTBLANK(B46)=1," ",COUNTA($B$15:B46))</f>
        <v>31</v>
      </c>
      <c r="B46" s="153" t="s">
        <v>93</v>
      </c>
      <c r="C46" s="272" t="s">
        <v>331</v>
      </c>
      <c r="D46" s="109" t="s">
        <v>97</v>
      </c>
      <c r="E46" s="178">
        <v>40</v>
      </c>
      <c r="F46" s="95"/>
      <c r="G46" s="98"/>
      <c r="H46" s="99"/>
      <c r="I46" s="100"/>
      <c r="J46" s="95"/>
      <c r="K46" s="268"/>
      <c r="L46" s="269"/>
      <c r="M46" s="269"/>
      <c r="N46" s="269"/>
      <c r="O46" s="269"/>
      <c r="P46" s="269"/>
    </row>
    <row r="47" spans="1:16" ht="22.5" x14ac:dyDescent="0.2">
      <c r="A47" s="266">
        <f>IF(COUNTBLANK(B47)=1," ",COUNTA($B$15:B47))</f>
        <v>32</v>
      </c>
      <c r="B47" s="153" t="s">
        <v>93</v>
      </c>
      <c r="C47" s="272" t="s">
        <v>340</v>
      </c>
      <c r="D47" s="109" t="s">
        <v>107</v>
      </c>
      <c r="E47" s="176">
        <f>0.004*0.05*10*7800</f>
        <v>15.6</v>
      </c>
      <c r="F47" s="75"/>
      <c r="G47" s="98"/>
      <c r="H47" s="271"/>
      <c r="I47" s="95"/>
      <c r="J47" s="75"/>
      <c r="K47" s="268"/>
      <c r="L47" s="269"/>
      <c r="M47" s="269"/>
      <c r="N47" s="269"/>
      <c r="O47" s="269"/>
      <c r="P47" s="269"/>
    </row>
    <row r="48" spans="1:16" ht="22.5" x14ac:dyDescent="0.2">
      <c r="A48" s="266">
        <f>IF(COUNTBLANK(B48)=1," ",COUNTA($B$15:B48))</f>
        <v>33</v>
      </c>
      <c r="B48" s="153" t="s">
        <v>93</v>
      </c>
      <c r="C48" s="272" t="s">
        <v>341</v>
      </c>
      <c r="D48" s="109" t="s">
        <v>107</v>
      </c>
      <c r="E48" s="176">
        <f>0.004*0.04*5.5*7800</f>
        <v>6.8639999999999999</v>
      </c>
      <c r="F48" s="75"/>
      <c r="G48" s="98"/>
      <c r="H48" s="271"/>
      <c r="I48" s="95"/>
      <c r="J48" s="75"/>
      <c r="K48" s="268"/>
      <c r="L48" s="269"/>
      <c r="M48" s="269"/>
      <c r="N48" s="269"/>
      <c r="O48" s="269"/>
      <c r="P48" s="269"/>
    </row>
    <row r="49" spans="1:16" x14ac:dyDescent="0.2">
      <c r="A49" s="266">
        <f>IF(COUNTBLANK(B49)=1," ",COUNTA($B$15:B49))</f>
        <v>34</v>
      </c>
      <c r="B49" s="153" t="s">
        <v>93</v>
      </c>
      <c r="C49" s="272" t="s">
        <v>334</v>
      </c>
      <c r="D49" s="109" t="s">
        <v>97</v>
      </c>
      <c r="E49" s="178">
        <v>10</v>
      </c>
      <c r="F49" s="75"/>
      <c r="G49" s="98"/>
      <c r="H49" s="271"/>
      <c r="I49" s="95"/>
      <c r="J49" s="75"/>
      <c r="K49" s="268"/>
      <c r="L49" s="269"/>
      <c r="M49" s="269"/>
      <c r="N49" s="269"/>
      <c r="O49" s="269"/>
      <c r="P49" s="269"/>
    </row>
    <row r="50" spans="1:16" ht="22.5" x14ac:dyDescent="0.2">
      <c r="A50" s="266">
        <f>IF(COUNTBLANK(B50)=1," ",COUNTA($B$15:B50))</f>
        <v>35</v>
      </c>
      <c r="B50" s="153" t="s">
        <v>93</v>
      </c>
      <c r="C50" s="272" t="s">
        <v>342</v>
      </c>
      <c r="D50" s="109" t="s">
        <v>95</v>
      </c>
      <c r="E50" s="176">
        <f>0.95*5</f>
        <v>4.75</v>
      </c>
      <c r="F50" s="75"/>
      <c r="G50" s="98"/>
      <c r="H50" s="271"/>
      <c r="I50" s="95"/>
      <c r="J50" s="75"/>
      <c r="K50" s="268"/>
      <c r="L50" s="269"/>
      <c r="M50" s="269"/>
      <c r="N50" s="269"/>
      <c r="O50" s="269"/>
      <c r="P50" s="269"/>
    </row>
    <row r="51" spans="1:16" x14ac:dyDescent="0.2">
      <c r="A51" s="266">
        <f>IF(COUNTBLANK(B51)=1," ",COUNTA($B$15:B51))</f>
        <v>36</v>
      </c>
      <c r="B51" s="153" t="s">
        <v>93</v>
      </c>
      <c r="C51" s="272" t="s">
        <v>343</v>
      </c>
      <c r="D51" s="109" t="s">
        <v>100</v>
      </c>
      <c r="E51" s="176">
        <f>0.7*5</f>
        <v>3.5</v>
      </c>
      <c r="F51" s="75"/>
      <c r="G51" s="98"/>
      <c r="H51" s="271"/>
      <c r="I51" s="95"/>
      <c r="J51" s="75"/>
      <c r="K51" s="268"/>
      <c r="L51" s="269"/>
      <c r="M51" s="269"/>
      <c r="N51" s="269"/>
      <c r="O51" s="269"/>
      <c r="P51" s="269"/>
    </row>
    <row r="52" spans="1:16" x14ac:dyDescent="0.2">
      <c r="A52" s="266">
        <f>IF(COUNTBLANK(B52)=1," ",COUNTA($B$15:B52))</f>
        <v>37</v>
      </c>
      <c r="B52" s="153" t="s">
        <v>93</v>
      </c>
      <c r="C52" s="272" t="s">
        <v>337</v>
      </c>
      <c r="D52" s="109" t="s">
        <v>100</v>
      </c>
      <c r="E52" s="176">
        <v>3</v>
      </c>
      <c r="F52" s="75"/>
      <c r="G52" s="98"/>
      <c r="H52" s="271"/>
      <c r="I52" s="95"/>
      <c r="J52" s="75"/>
      <c r="K52" s="268"/>
      <c r="L52" s="269"/>
      <c r="M52" s="269"/>
      <c r="N52" s="269"/>
      <c r="O52" s="269"/>
      <c r="P52" s="269"/>
    </row>
    <row r="53" spans="1:16" ht="22.5" x14ac:dyDescent="0.2">
      <c r="A53" s="266">
        <f>IF(COUNTBLANK(B53)=1," ",COUNTA($B$15:B53))</f>
        <v>38</v>
      </c>
      <c r="B53" s="153" t="s">
        <v>93</v>
      </c>
      <c r="C53" s="272" t="s">
        <v>344</v>
      </c>
      <c r="D53" s="109" t="s">
        <v>97</v>
      </c>
      <c r="E53" s="178">
        <v>20</v>
      </c>
      <c r="F53" s="75"/>
      <c r="G53" s="98"/>
      <c r="H53" s="271"/>
      <c r="I53" s="95"/>
      <c r="J53" s="75"/>
      <c r="K53" s="268"/>
      <c r="L53" s="269"/>
      <c r="M53" s="269"/>
      <c r="N53" s="269"/>
      <c r="O53" s="269"/>
      <c r="P53" s="269"/>
    </row>
    <row r="54" spans="1:16" ht="22.5" x14ac:dyDescent="0.2">
      <c r="A54" s="266" t="str">
        <f>IF(COUNTBLANK(B54)=1," ",COUNTA($B$15:B54))</f>
        <v xml:space="preserve"> </v>
      </c>
      <c r="B54" s="274"/>
      <c r="C54" s="273" t="s">
        <v>345</v>
      </c>
      <c r="D54" s="109"/>
      <c r="E54" s="176"/>
      <c r="F54" s="75"/>
      <c r="G54" s="98"/>
      <c r="H54" s="271"/>
      <c r="I54" s="95"/>
      <c r="J54" s="75"/>
      <c r="K54" s="268"/>
      <c r="L54" s="269"/>
      <c r="M54" s="269"/>
      <c r="N54" s="269"/>
      <c r="O54" s="269"/>
      <c r="P54" s="269"/>
    </row>
    <row r="55" spans="1:16" ht="22.5" x14ac:dyDescent="0.2">
      <c r="A55" s="266">
        <f>IF(COUNTBLANK(B55)=1," ",COUNTA($B$15:B55))</f>
        <v>39</v>
      </c>
      <c r="B55" s="153" t="s">
        <v>93</v>
      </c>
      <c r="C55" s="272" t="s">
        <v>346</v>
      </c>
      <c r="D55" s="168" t="s">
        <v>95</v>
      </c>
      <c r="E55" s="176">
        <v>91</v>
      </c>
      <c r="F55" s="75"/>
      <c r="G55" s="98"/>
      <c r="H55" s="271"/>
      <c r="I55" s="95"/>
      <c r="J55" s="75"/>
      <c r="K55" s="268"/>
      <c r="L55" s="269"/>
      <c r="M55" s="269"/>
      <c r="N55" s="269"/>
      <c r="O55" s="269"/>
      <c r="P55" s="269"/>
    </row>
    <row r="56" spans="1:16" ht="22.5" x14ac:dyDescent="0.2">
      <c r="A56" s="266">
        <f>IF(COUNTBLANK(B56)=1," ",COUNTA($B$15:B56))</f>
        <v>40</v>
      </c>
      <c r="B56" s="153" t="s">
        <v>93</v>
      </c>
      <c r="C56" s="272" t="s">
        <v>347</v>
      </c>
      <c r="D56" s="168" t="s">
        <v>100</v>
      </c>
      <c r="E56" s="176">
        <f>0.15*91</f>
        <v>13.65</v>
      </c>
      <c r="F56" s="95"/>
      <c r="G56" s="98"/>
      <c r="H56" s="99"/>
      <c r="I56" s="100"/>
      <c r="J56" s="95"/>
      <c r="K56" s="268"/>
      <c r="L56" s="269"/>
      <c r="M56" s="269"/>
      <c r="N56" s="269"/>
      <c r="O56" s="269"/>
      <c r="P56" s="269"/>
    </row>
    <row r="57" spans="1:16" ht="22.5" x14ac:dyDescent="0.2">
      <c r="A57" s="266">
        <f>IF(COUNTBLANK(B57)=1," ",COUNTA($B$15:B57))</f>
        <v>41</v>
      </c>
      <c r="B57" s="153" t="s">
        <v>93</v>
      </c>
      <c r="C57" s="272" t="s">
        <v>348</v>
      </c>
      <c r="D57" s="168" t="s">
        <v>107</v>
      </c>
      <c r="E57" s="176">
        <f>0.004*0.04*59*7800</f>
        <v>73.632000000000005</v>
      </c>
      <c r="F57" s="75"/>
      <c r="G57" s="98"/>
      <c r="H57" s="271"/>
      <c r="I57" s="95"/>
      <c r="J57" s="75"/>
      <c r="K57" s="268"/>
      <c r="L57" s="269"/>
      <c r="M57" s="269"/>
      <c r="N57" s="269"/>
      <c r="O57" s="269"/>
      <c r="P57" s="269"/>
    </row>
    <row r="58" spans="1:16" ht="22.5" x14ac:dyDescent="0.2">
      <c r="A58" s="266">
        <f>IF(COUNTBLANK(B58)=1," ",COUNTA($B$15:B58))</f>
        <v>42</v>
      </c>
      <c r="B58" s="153" t="s">
        <v>93</v>
      </c>
      <c r="C58" s="272" t="s">
        <v>349</v>
      </c>
      <c r="D58" s="168" t="s">
        <v>95</v>
      </c>
      <c r="E58" s="176">
        <v>91</v>
      </c>
      <c r="F58" s="75"/>
      <c r="G58" s="98"/>
      <c r="H58" s="271"/>
      <c r="I58" s="95"/>
      <c r="J58" s="75"/>
      <c r="K58" s="268"/>
      <c r="L58" s="269"/>
      <c r="M58" s="269"/>
      <c r="N58" s="269"/>
      <c r="O58" s="269"/>
      <c r="P58" s="269"/>
    </row>
    <row r="59" spans="1:16" ht="22.5" x14ac:dyDescent="0.2">
      <c r="A59" s="266">
        <f>IF(COUNTBLANK(B59)=1," ",COUNTA($B$15:B59))</f>
        <v>43</v>
      </c>
      <c r="B59" s="153" t="s">
        <v>93</v>
      </c>
      <c r="C59" s="272" t="s">
        <v>350</v>
      </c>
      <c r="D59" s="168" t="s">
        <v>100</v>
      </c>
      <c r="E59" s="176">
        <f>0.6*91</f>
        <v>54.6</v>
      </c>
      <c r="F59" s="75"/>
      <c r="G59" s="98"/>
      <c r="H59" s="271"/>
      <c r="I59" s="95"/>
      <c r="J59" s="75"/>
      <c r="K59" s="268"/>
      <c r="L59" s="269"/>
      <c r="M59" s="269"/>
      <c r="N59" s="269"/>
      <c r="O59" s="269"/>
      <c r="P59" s="269"/>
    </row>
    <row r="60" spans="1:16" x14ac:dyDescent="0.2">
      <c r="A60" s="266">
        <f>IF(COUNTBLANK(B60)=1," ",COUNTA($B$15:B60))</f>
        <v>44</v>
      </c>
      <c r="B60" s="153" t="s">
        <v>93</v>
      </c>
      <c r="C60" s="272" t="s">
        <v>351</v>
      </c>
      <c r="D60" s="168" t="s">
        <v>97</v>
      </c>
      <c r="E60" s="178">
        <v>130</v>
      </c>
      <c r="F60" s="75"/>
      <c r="G60" s="98"/>
      <c r="H60" s="271"/>
      <c r="I60" s="95"/>
      <c r="J60" s="75"/>
      <c r="K60" s="268"/>
      <c r="L60" s="269"/>
      <c r="M60" s="269"/>
      <c r="N60" s="269"/>
      <c r="O60" s="269"/>
      <c r="P60" s="269"/>
    </row>
    <row r="61" spans="1:16" x14ac:dyDescent="0.2">
      <c r="A61" s="266">
        <f>IF(COUNTBLANK(B61)=1," ",COUNTA($B$15:B61))</f>
        <v>45</v>
      </c>
      <c r="B61" s="153" t="s">
        <v>93</v>
      </c>
      <c r="C61" s="272" t="s">
        <v>352</v>
      </c>
      <c r="D61" s="168" t="s">
        <v>95</v>
      </c>
      <c r="E61" s="176">
        <v>91</v>
      </c>
      <c r="F61" s="75"/>
      <c r="G61" s="98"/>
      <c r="H61" s="271"/>
      <c r="I61" s="95"/>
      <c r="J61" s="75"/>
      <c r="K61" s="268"/>
      <c r="L61" s="269"/>
      <c r="M61" s="269"/>
      <c r="N61" s="269"/>
      <c r="O61" s="269"/>
      <c r="P61" s="269"/>
    </row>
    <row r="62" spans="1:16" ht="22.5" x14ac:dyDescent="0.2">
      <c r="A62" s="266">
        <f>IF(COUNTBLANK(B62)=1," ",COUNTA($B$15:B62))</f>
        <v>46</v>
      </c>
      <c r="B62" s="153" t="s">
        <v>93</v>
      </c>
      <c r="C62" s="272" t="s">
        <v>353</v>
      </c>
      <c r="D62" s="168" t="s">
        <v>95</v>
      </c>
      <c r="E62" s="176">
        <v>91</v>
      </c>
      <c r="F62" s="75"/>
      <c r="G62" s="98"/>
      <c r="H62" s="271"/>
      <c r="I62" s="95"/>
      <c r="J62" s="75"/>
      <c r="K62" s="268"/>
      <c r="L62" s="269"/>
      <c r="M62" s="269"/>
      <c r="N62" s="269"/>
      <c r="O62" s="269"/>
      <c r="P62" s="269"/>
    </row>
    <row r="63" spans="1:16" ht="12" thickBot="1" x14ac:dyDescent="0.25">
      <c r="A63" s="360" t="s">
        <v>545</v>
      </c>
      <c r="B63" s="361"/>
      <c r="C63" s="361"/>
      <c r="D63" s="361"/>
      <c r="E63" s="361"/>
      <c r="F63" s="361"/>
      <c r="G63" s="361"/>
      <c r="H63" s="361"/>
      <c r="I63" s="361"/>
      <c r="J63" s="361"/>
      <c r="K63" s="362"/>
      <c r="L63" s="226">
        <f>SUM(L14:L62)</f>
        <v>0</v>
      </c>
      <c r="M63" s="238">
        <f>SUM(M14:M62)</f>
        <v>0</v>
      </c>
      <c r="N63" s="238">
        <f>SUM(N14:N62)</f>
        <v>0</v>
      </c>
      <c r="O63" s="238">
        <f>SUM(O14:O62)</f>
        <v>0</v>
      </c>
      <c r="P63" s="239">
        <f>SUM(P14:P62)</f>
        <v>0</v>
      </c>
    </row>
    <row r="64" spans="1:16" x14ac:dyDescent="0.2">
      <c r="A64" s="173"/>
      <c r="B64" s="173"/>
      <c r="C64" s="173"/>
      <c r="D64" s="173"/>
      <c r="E64" s="173"/>
      <c r="F64" s="173"/>
      <c r="G64" s="173"/>
      <c r="H64" s="173"/>
      <c r="I64" s="173"/>
      <c r="J64" s="173"/>
      <c r="K64" s="173"/>
      <c r="L64" s="173"/>
      <c r="M64" s="173"/>
      <c r="N64" s="173"/>
      <c r="O64" s="173"/>
      <c r="P64" s="173"/>
    </row>
    <row r="65" spans="1:16" x14ac:dyDescent="0.2">
      <c r="A65" s="173"/>
      <c r="B65" s="173"/>
      <c r="C65" s="173"/>
      <c r="D65" s="173"/>
      <c r="E65" s="173"/>
      <c r="F65" s="173"/>
      <c r="G65" s="173"/>
      <c r="H65" s="173"/>
      <c r="I65" s="173"/>
      <c r="J65" s="173"/>
      <c r="K65" s="173"/>
      <c r="L65" s="173"/>
      <c r="M65" s="173"/>
      <c r="N65" s="173"/>
      <c r="O65" s="173"/>
      <c r="P65" s="173"/>
    </row>
    <row r="66" spans="1:16" x14ac:dyDescent="0.2">
      <c r="A66" s="174" t="s">
        <v>14</v>
      </c>
      <c r="B66" s="173"/>
      <c r="C66" s="358">
        <f>'Kops a'!C34:H34</f>
        <v>0</v>
      </c>
      <c r="D66" s="358"/>
      <c r="E66" s="358"/>
      <c r="F66" s="358"/>
      <c r="G66" s="358"/>
      <c r="H66" s="358"/>
      <c r="I66" s="173"/>
      <c r="J66" s="173"/>
      <c r="K66" s="173"/>
      <c r="L66" s="173"/>
      <c r="M66" s="173"/>
      <c r="N66" s="173"/>
      <c r="O66" s="173"/>
      <c r="P66" s="173"/>
    </row>
    <row r="67" spans="1:16" x14ac:dyDescent="0.2">
      <c r="A67" s="173"/>
      <c r="B67" s="173"/>
      <c r="C67" s="359" t="s">
        <v>15</v>
      </c>
      <c r="D67" s="359"/>
      <c r="E67" s="359"/>
      <c r="F67" s="359"/>
      <c r="G67" s="359"/>
      <c r="H67" s="359"/>
      <c r="I67" s="173"/>
      <c r="J67" s="173"/>
      <c r="K67" s="173"/>
      <c r="L67" s="173"/>
      <c r="M67" s="173"/>
      <c r="N67" s="173"/>
      <c r="O67" s="173"/>
      <c r="P67" s="173"/>
    </row>
    <row r="68" spans="1:16" x14ac:dyDescent="0.2">
      <c r="A68" s="173"/>
      <c r="B68" s="173"/>
      <c r="C68" s="173"/>
      <c r="D68" s="173"/>
      <c r="E68" s="173"/>
      <c r="F68" s="173"/>
      <c r="G68" s="173"/>
      <c r="H68" s="173"/>
      <c r="I68" s="173"/>
      <c r="J68" s="173"/>
      <c r="K68" s="173"/>
      <c r="L68" s="173"/>
      <c r="M68" s="173"/>
      <c r="N68" s="173"/>
      <c r="O68" s="173"/>
      <c r="P68" s="173"/>
    </row>
    <row r="69" spans="1:16" x14ac:dyDescent="0.2">
      <c r="A69" s="227" t="str">
        <f>'Kops a'!A37</f>
        <v>Tāme sastādīta 2021. gada</v>
      </c>
      <c r="B69" s="228"/>
      <c r="C69" s="228"/>
      <c r="D69" s="228"/>
      <c r="E69" s="173"/>
      <c r="F69" s="173"/>
      <c r="G69" s="173"/>
      <c r="H69" s="173"/>
      <c r="I69" s="173"/>
      <c r="J69" s="173"/>
      <c r="K69" s="173"/>
      <c r="L69" s="173"/>
      <c r="M69" s="173"/>
      <c r="N69" s="173"/>
      <c r="O69" s="173"/>
      <c r="P69" s="173"/>
    </row>
    <row r="70" spans="1:16" x14ac:dyDescent="0.2">
      <c r="A70" s="173"/>
      <c r="B70" s="173"/>
      <c r="C70" s="173"/>
      <c r="D70" s="173"/>
      <c r="E70" s="173"/>
      <c r="F70" s="173"/>
      <c r="G70" s="173"/>
      <c r="H70" s="173"/>
      <c r="I70" s="173"/>
      <c r="J70" s="173"/>
      <c r="K70" s="173"/>
      <c r="L70" s="173"/>
      <c r="M70" s="173"/>
      <c r="N70" s="173"/>
      <c r="O70" s="173"/>
      <c r="P70" s="173"/>
    </row>
    <row r="71" spans="1:16" x14ac:dyDescent="0.2">
      <c r="A71" s="174" t="s">
        <v>37</v>
      </c>
      <c r="B71" s="173"/>
      <c r="C71" s="358">
        <f>'Kops a'!C39:H39</f>
        <v>0</v>
      </c>
      <c r="D71" s="358"/>
      <c r="E71" s="358"/>
      <c r="F71" s="358"/>
      <c r="G71" s="358"/>
      <c r="H71" s="358"/>
      <c r="I71" s="173"/>
      <c r="J71" s="173"/>
      <c r="K71" s="173"/>
      <c r="L71" s="173"/>
      <c r="M71" s="173"/>
      <c r="N71" s="173"/>
      <c r="O71" s="173"/>
      <c r="P71" s="173"/>
    </row>
    <row r="72" spans="1:16" x14ac:dyDescent="0.2">
      <c r="A72" s="173"/>
      <c r="B72" s="173"/>
      <c r="C72" s="359" t="s">
        <v>15</v>
      </c>
      <c r="D72" s="359"/>
      <c r="E72" s="359"/>
      <c r="F72" s="359"/>
      <c r="G72" s="359"/>
      <c r="H72" s="359"/>
      <c r="I72" s="173"/>
      <c r="J72" s="173"/>
      <c r="K72" s="173"/>
      <c r="L72" s="173"/>
      <c r="M72" s="173"/>
      <c r="N72" s="173"/>
      <c r="O72" s="173"/>
      <c r="P72" s="173"/>
    </row>
    <row r="73" spans="1:16" x14ac:dyDescent="0.2">
      <c r="A73" s="173"/>
      <c r="B73" s="173"/>
      <c r="C73" s="173"/>
      <c r="D73" s="173"/>
      <c r="E73" s="173"/>
      <c r="F73" s="173"/>
      <c r="G73" s="173"/>
      <c r="H73" s="173"/>
      <c r="I73" s="173"/>
      <c r="J73" s="173"/>
      <c r="K73" s="173"/>
      <c r="L73" s="173"/>
      <c r="M73" s="173"/>
      <c r="N73" s="173"/>
      <c r="O73" s="173"/>
      <c r="P73" s="173"/>
    </row>
    <row r="74" spans="1:16" x14ac:dyDescent="0.2">
      <c r="A74" s="227" t="s">
        <v>54</v>
      </c>
      <c r="B74" s="228"/>
      <c r="C74" s="229">
        <f>'Kops a'!C42</f>
        <v>0</v>
      </c>
      <c r="D74" s="230"/>
      <c r="E74" s="173"/>
      <c r="F74" s="173"/>
      <c r="G74" s="173"/>
      <c r="H74" s="173"/>
      <c r="I74" s="173"/>
      <c r="J74" s="173"/>
      <c r="K74" s="173"/>
      <c r="L74" s="173"/>
      <c r="M74" s="173"/>
      <c r="N74" s="173"/>
      <c r="O74" s="173"/>
      <c r="P74" s="173"/>
    </row>
    <row r="75" spans="1:16" x14ac:dyDescent="0.2">
      <c r="A75" s="173"/>
      <c r="B75" s="173"/>
      <c r="C75" s="173"/>
      <c r="D75" s="173"/>
      <c r="E75" s="173"/>
      <c r="F75" s="173"/>
      <c r="G75" s="173"/>
      <c r="H75" s="173"/>
      <c r="I75" s="173"/>
      <c r="J75" s="173"/>
      <c r="K75" s="173"/>
      <c r="L75" s="173"/>
      <c r="M75" s="173"/>
      <c r="N75" s="173"/>
      <c r="O75" s="173"/>
      <c r="P75" s="173"/>
    </row>
    <row r="76" spans="1:16" x14ac:dyDescent="0.2">
      <c r="A76" s="231" t="s">
        <v>63</v>
      </c>
      <c r="B76" s="173"/>
      <c r="E76" s="167"/>
      <c r="F76" s="232"/>
      <c r="G76" s="167"/>
      <c r="H76" s="233"/>
      <c r="I76" s="233"/>
      <c r="J76" s="234"/>
      <c r="K76" s="235"/>
      <c r="L76" s="235"/>
      <c r="M76" s="235"/>
      <c r="N76" s="235"/>
      <c r="O76" s="235"/>
    </row>
    <row r="77" spans="1:16" x14ac:dyDescent="0.2">
      <c r="A77" s="357" t="s">
        <v>64</v>
      </c>
      <c r="B77" s="357"/>
      <c r="C77" s="357"/>
      <c r="D77" s="357"/>
      <c r="E77" s="357"/>
      <c r="F77" s="357"/>
      <c r="G77" s="357"/>
      <c r="H77" s="357"/>
      <c r="I77" s="357"/>
      <c r="J77" s="357"/>
      <c r="K77" s="357"/>
      <c r="L77" s="357"/>
      <c r="M77" s="357"/>
      <c r="N77" s="357"/>
      <c r="O77" s="357"/>
    </row>
    <row r="78" spans="1:16" x14ac:dyDescent="0.2">
      <c r="A78" s="357" t="s">
        <v>65</v>
      </c>
      <c r="B78" s="357"/>
      <c r="C78" s="357"/>
      <c r="D78" s="357"/>
      <c r="E78" s="357"/>
      <c r="F78" s="357"/>
      <c r="G78" s="357"/>
      <c r="H78" s="357"/>
      <c r="I78" s="357"/>
      <c r="J78" s="357"/>
      <c r="K78" s="357"/>
      <c r="L78" s="357"/>
      <c r="M78" s="357"/>
      <c r="N78" s="357"/>
      <c r="O78" s="357"/>
    </row>
  </sheetData>
  <autoFilter ref="A14:WVV63" xr:uid="{00000000-0009-0000-0000-000007000000}"/>
  <mergeCells count="24">
    <mergeCell ref="D7:L7"/>
    <mergeCell ref="C2:I2"/>
    <mergeCell ref="C3:I3"/>
    <mergeCell ref="C4:I4"/>
    <mergeCell ref="D5:L5"/>
    <mergeCell ref="D6:L6"/>
    <mergeCell ref="D8:L8"/>
    <mergeCell ref="A9:F9"/>
    <mergeCell ref="J9:M9"/>
    <mergeCell ref="N9:O9"/>
    <mergeCell ref="A12:A13"/>
    <mergeCell ref="B12:B13"/>
    <mergeCell ref="C12:C13"/>
    <mergeCell ref="D12:D13"/>
    <mergeCell ref="E12:E13"/>
    <mergeCell ref="F12:K12"/>
    <mergeCell ref="A77:O77"/>
    <mergeCell ref="A78:O78"/>
    <mergeCell ref="L12:P12"/>
    <mergeCell ref="A63:K63"/>
    <mergeCell ref="C66:H66"/>
    <mergeCell ref="C67:H67"/>
    <mergeCell ref="C71:H71"/>
    <mergeCell ref="C72:H72"/>
  </mergeCells>
  <conditionalFormatting sqref="C71:H71 C66:H66 I14:J62 A14:G19 A32:G62 A21:G25 A20:B20 D20:G20 A26:B26 D26:G30 B27:B30 B31:G31 A27:A31">
    <cfRule type="cellIs" dxfId="95" priority="72" operator="equal">
      <formula>0</formula>
    </cfRule>
  </conditionalFormatting>
  <conditionalFormatting sqref="N9:O9 D5:L8 D1 L63:P63 C71:H71 C74 C66:H66 K14:P62 H14:H62">
    <cfRule type="cellIs" dxfId="94" priority="71" operator="equal">
      <formula>0</formula>
    </cfRule>
  </conditionalFormatting>
  <conditionalFormatting sqref="A9:F9">
    <cfRule type="containsText" dxfId="93" priority="70" operator="containsText" text="Tāme sastādīta  20__. gada tirgus cenās, pamatojoties uz ___ daļas rasējumiem">
      <formula>NOT(ISERROR(SEARCH("Tāme sastādīta  20__. gada tirgus cenās, pamatojoties uz ___ daļas rasējumiem",A9)))</formula>
    </cfRule>
  </conditionalFormatting>
  <conditionalFormatting sqref="O10:P10">
    <cfRule type="cellIs" dxfId="92" priority="69" operator="equal">
      <formula>"20__. gada __. _________"</formula>
    </cfRule>
  </conditionalFormatting>
  <conditionalFormatting sqref="A63:K63">
    <cfRule type="containsText" dxfId="91" priority="68" operator="containsText" text="Tiešās izmaksas kopā, t. sk. darba devēja sociālais nodoklis __.__% ">
      <formula>NOT(ISERROR(SEARCH("Tiešās izmaksas kopā, t. sk. darba devēja sociālais nodoklis __.__% ",A63)))</formula>
    </cfRule>
  </conditionalFormatting>
  <conditionalFormatting sqref="C4:I4 C2:I2">
    <cfRule type="cellIs" dxfId="90" priority="66" operator="equal">
      <formula>0</formula>
    </cfRule>
  </conditionalFormatting>
  <conditionalFormatting sqref="G19:G22 G31:G33 G37 G46 G56">
    <cfRule type="cellIs" dxfId="89" priority="19" operator="equal">
      <formula>0</formula>
    </cfRule>
  </conditionalFormatting>
  <conditionalFormatting sqref="G19:G22 G31:G33 G37 G46 G56">
    <cfRule type="cellIs" dxfId="88" priority="18" operator="equal">
      <formula>0</formula>
    </cfRule>
  </conditionalFormatting>
  <conditionalFormatting sqref="G19:G22 G31:G33 G37 G46 G56">
    <cfRule type="cellIs" dxfId="87" priority="17" operator="equal">
      <formula>0</formula>
    </cfRule>
  </conditionalFormatting>
  <conditionalFormatting sqref="G19:G22 G31:G33 G37 G46 G56">
    <cfRule type="cellIs" dxfId="86" priority="16" operator="equal">
      <formula>0</formula>
    </cfRule>
  </conditionalFormatting>
  <conditionalFormatting sqref="G19:G22 G31:G33 G37 G46 G56">
    <cfRule type="cellIs" dxfId="85" priority="15" operator="equal">
      <formula>0</formula>
    </cfRule>
  </conditionalFormatting>
  <conditionalFormatting sqref="G19:G22 G31:G33 G37 G46 G56">
    <cfRule type="cellIs" dxfId="84" priority="14" operator="equal">
      <formula>0</formula>
    </cfRule>
  </conditionalFormatting>
  <conditionalFormatting sqref="G19:G22 G31:G33 G37 G46 G56">
    <cfRule type="cellIs" dxfId="83" priority="13" operator="equal">
      <formula>0</formula>
    </cfRule>
  </conditionalFormatting>
  <conditionalFormatting sqref="G19:G22 G31:G33 G37 G46 G56">
    <cfRule type="cellIs" dxfId="82" priority="12" operator="equal">
      <formula>0</formula>
    </cfRule>
  </conditionalFormatting>
  <conditionalFormatting sqref="G19:G22 G31:G33 G37 G46 G56">
    <cfRule type="cellIs" dxfId="81" priority="11" operator="equal">
      <formula>0</formula>
    </cfRule>
  </conditionalFormatting>
  <conditionalFormatting sqref="G19:G22 G31:G33 G37 G46 G56">
    <cfRule type="cellIs" dxfId="80" priority="10" operator="equal">
      <formula>0</formula>
    </cfRule>
  </conditionalFormatting>
  <conditionalFormatting sqref="G19:G22 G31:G33 G37 G46 G56">
    <cfRule type="cellIs" dxfId="79" priority="9" operator="equal">
      <formula>0</formula>
    </cfRule>
  </conditionalFormatting>
  <conditionalFormatting sqref="G19:G22 G31:G33 G37 G46 G56">
    <cfRule type="cellIs" dxfId="78" priority="8" operator="equal">
      <formula>0</formula>
    </cfRule>
  </conditionalFormatting>
  <conditionalFormatting sqref="G19:G22 G31:G33 G37 G46 G56">
    <cfRule type="cellIs" dxfId="77" priority="7" operator="equal">
      <formula>0</formula>
    </cfRule>
  </conditionalFormatting>
  <conditionalFormatting sqref="C26">
    <cfRule type="cellIs" dxfId="76" priority="6" operator="equal">
      <formula>0</formula>
    </cfRule>
  </conditionalFormatting>
  <conditionalFormatting sqref="C20">
    <cfRule type="cellIs" dxfId="75" priority="5" operator="equal">
      <formula>0</formula>
    </cfRule>
  </conditionalFormatting>
  <conditionalFormatting sqref="C27">
    <cfRule type="cellIs" dxfId="74" priority="4" operator="equal">
      <formula>0</formula>
    </cfRule>
  </conditionalFormatting>
  <conditionalFormatting sqref="C28">
    <cfRule type="cellIs" dxfId="73" priority="3" operator="equal">
      <formula>0</formula>
    </cfRule>
  </conditionalFormatting>
  <conditionalFormatting sqref="C29">
    <cfRule type="cellIs" dxfId="72" priority="2" operator="equal">
      <formula>0</formula>
    </cfRule>
  </conditionalFormatting>
  <conditionalFormatting sqref="C30">
    <cfRule type="cellIs" dxfId="71" priority="1" operator="equal">
      <formula>0</formula>
    </cfRule>
  </conditionalFormatting>
  <pageMargins left="0.7" right="0.7" top="0.75" bottom="0.75" header="0.3" footer="0.3"/>
  <pageSetup paperSize="9" scale="86" fitToHeight="0" orientation="landscape" r:id="rId1"/>
  <headerFooter>
    <oddFooter>&amp;R&amp;P</oddFooter>
  </headerFooter>
  <rowBreaks count="2" manualBreakCount="2">
    <brk id="33" max="15" man="1"/>
    <brk id="61" max="15" man="1"/>
  </rowBreaks>
  <legacyDrawing r:id="rId2"/>
  <extLst>
    <ext xmlns:x14="http://schemas.microsoft.com/office/spreadsheetml/2009/9/main" uri="{78C0D931-6437-407d-A8EE-F0AAD7539E65}">
      <x14:conditionalFormattings>
        <x14:conditionalFormatting xmlns:xm="http://schemas.microsoft.com/office/excel/2006/main">
          <x14:cfRule type="containsText" priority="27" operator="containsText" id="{87A367F5-3523-4750-9D9E-7AF666E582E0}">
            <xm:f>NOT(ISERROR(SEARCH("Tāme sastādīta ____. gada ___. ______________",A69)))</xm:f>
            <xm:f>"Tāme sastādīta ____. gada ___. ______________"</xm:f>
            <x14:dxf>
              <font>
                <color auto="1"/>
              </font>
              <fill>
                <patternFill>
                  <bgColor rgb="FFC6EFCE"/>
                </patternFill>
              </fill>
            </x14:dxf>
          </x14:cfRule>
          <xm:sqref>A69</xm:sqref>
        </x14:conditionalFormatting>
        <x14:conditionalFormatting xmlns:xm="http://schemas.microsoft.com/office/excel/2006/main">
          <x14:cfRule type="containsText" priority="26" operator="containsText" id="{0D08F27E-667D-41A6-AB1F-7889283CB5C5}">
            <xm:f>NOT(ISERROR(SEARCH("Sertifikāta Nr. _________________________________",A74)))</xm:f>
            <xm:f>"Sertifikāta Nr. _________________________________"</xm:f>
            <x14:dxf>
              <font>
                <color auto="1"/>
              </font>
              <fill>
                <patternFill>
                  <bgColor rgb="FFC6EFCE"/>
                </patternFill>
              </fill>
            </x14:dxf>
          </x14:cfRule>
          <xm:sqref>A74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13</vt:i4>
      </vt:variant>
      <vt:variant>
        <vt:lpstr>Diapazoni ar nosaukumiem</vt:lpstr>
      </vt:variant>
      <vt:variant>
        <vt:i4>13</vt:i4>
      </vt:variant>
    </vt:vector>
  </HeadingPairs>
  <TitlesOfParts>
    <vt:vector size="26" baseType="lpstr">
      <vt:lpstr>Kopt a</vt:lpstr>
      <vt:lpstr>Kops a</vt:lpstr>
      <vt:lpstr>1a</vt:lpstr>
      <vt:lpstr>2a</vt:lpstr>
      <vt:lpstr>apjomi</vt:lpstr>
      <vt:lpstr>3a</vt:lpstr>
      <vt:lpstr>4a</vt:lpstr>
      <vt:lpstr>5a</vt:lpstr>
      <vt:lpstr>6a</vt:lpstr>
      <vt:lpstr>7a</vt:lpstr>
      <vt:lpstr>8a</vt:lpstr>
      <vt:lpstr>9a</vt:lpstr>
      <vt:lpstr>10a</vt:lpstr>
      <vt:lpstr>'2a'!Drukas_apgabals</vt:lpstr>
      <vt:lpstr>'6a'!Drukas_apgabals</vt:lpstr>
      <vt:lpstr>apjomi!Drukas_apgabals</vt:lpstr>
      <vt:lpstr>'10a'!Drukāt_virsrakstus</vt:lpstr>
      <vt:lpstr>'1a'!Drukāt_virsrakstus</vt:lpstr>
      <vt:lpstr>'2a'!Drukāt_virsrakstus</vt:lpstr>
      <vt:lpstr>'3a'!Drukāt_virsrakstus</vt:lpstr>
      <vt:lpstr>'4a'!Drukāt_virsrakstus</vt:lpstr>
      <vt:lpstr>'5a'!Drukāt_virsrakstus</vt:lpstr>
      <vt:lpstr>'6a'!Drukāt_virsrakstus</vt:lpstr>
      <vt:lpstr>'7a'!Drukāt_virsrakstus</vt:lpstr>
      <vt:lpstr>'8a'!Drukāt_virsrakstus</vt:lpstr>
      <vt:lpstr>'9a'!Drukāt_virsrakstus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Armands Ūbelis</dc:creator>
  <cp:lastModifiedBy>Prezenta</cp:lastModifiedBy>
  <cp:lastPrinted>2021-03-16T10:35:48Z</cp:lastPrinted>
  <dcterms:created xsi:type="dcterms:W3CDTF">2019-03-11T11:42:22Z</dcterms:created>
  <dcterms:modified xsi:type="dcterms:W3CDTF">2021-03-23T07:11:09Z</dcterms:modified>
</cp:coreProperties>
</file>