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2.20\docs\Pagaidu dokumenti\Renovācija_iepirkums\Altum_iepirkumi\83_Rojas_2_2\"/>
    </mc:Choice>
  </mc:AlternateContent>
  <xr:revisionPtr revIDLastSave="0" documentId="8_{6A8DE56F-0DBE-40EC-A3AD-955521321441}" xr6:coauthVersionLast="46" xr6:coauthVersionMax="46" xr10:uidLastSave="{00000000-0000-0000-0000-000000000000}"/>
  <bookViews>
    <workbookView xWindow="-120" yWindow="-120" windowWidth="29040" windowHeight="15840" tabRatio="846" activeTab="9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apjomi" sheetId="12" state="hidden" r:id="rId11"/>
  </sheets>
  <definedNames>
    <definedName name="_xlnm.Print_Titles" localSheetId="2">'1a'!$12:$13</definedName>
    <definedName name="_xlnm.Print_Titles" localSheetId="3">'2a'!$12:$13</definedName>
    <definedName name="_xlnm.Print_Titles" localSheetId="4">'3a'!$12:$13</definedName>
    <definedName name="_xlnm.Print_Titles" localSheetId="5">'4a'!$12:$13</definedName>
    <definedName name="_xlnm.Print_Titles" localSheetId="6">'5a'!$12:$13</definedName>
    <definedName name="_xlnm.Print_Titles" localSheetId="7">'6a'!$12:$13</definedName>
    <definedName name="_xlnm.Print_Titles" localSheetId="8">'7a'!$12:$13</definedName>
    <definedName name="_xlnm.Print_Titles" localSheetId="9">'8a'!$12:$13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9" l="1"/>
  <c r="E26" i="9"/>
  <c r="E33" i="9"/>
  <c r="E34" i="9" s="1"/>
  <c r="E32" i="9"/>
  <c r="E28" i="9" l="1"/>
  <c r="E45" i="6"/>
  <c r="E27" i="6"/>
  <c r="E28" i="6" s="1"/>
  <c r="U22" i="12"/>
  <c r="U20" i="12"/>
  <c r="U7" i="12"/>
  <c r="U9" i="12"/>
  <c r="U10" i="12"/>
  <c r="U12" i="12"/>
  <c r="U14" i="12"/>
  <c r="U15" i="12"/>
  <c r="U16" i="12"/>
  <c r="U17" i="12"/>
  <c r="U18" i="12"/>
  <c r="U5" i="12"/>
  <c r="U4" i="12"/>
  <c r="U23" i="12" s="1"/>
  <c r="E65" i="3" s="1"/>
  <c r="E66" i="3" l="1"/>
  <c r="E67" i="3"/>
  <c r="E29" i="9"/>
  <c r="E35" i="9"/>
  <c r="E29" i="3" l="1"/>
  <c r="E35" i="6" l="1"/>
  <c r="E38" i="6" s="1"/>
  <c r="E44" i="6"/>
  <c r="E43" i="6"/>
  <c r="E26" i="6"/>
  <c r="E17" i="6"/>
  <c r="E25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16" i="6"/>
  <c r="E24" i="6"/>
  <c r="E40" i="6" l="1"/>
  <c r="E39" i="6"/>
  <c r="E41" i="6"/>
  <c r="E36" i="6"/>
  <c r="E37" i="6"/>
  <c r="E42" i="6"/>
  <c r="E22" i="6"/>
  <c r="E21" i="6"/>
  <c r="E18" i="6"/>
  <c r="E19" i="6"/>
  <c r="E23" i="6"/>
  <c r="E20" i="6"/>
  <c r="E78" i="3"/>
  <c r="L77" i="6" l="1"/>
  <c r="N77" i="6"/>
  <c r="O77" i="6"/>
  <c r="E43" i="5"/>
  <c r="E86" i="3"/>
  <c r="E83" i="3"/>
  <c r="E85" i="3" s="1"/>
  <c r="E84" i="3" l="1"/>
  <c r="E34" i="3"/>
  <c r="E31" i="3"/>
  <c r="A34" i="3"/>
  <c r="A35" i="3"/>
  <c r="A36" i="3"/>
  <c r="M22" i="12"/>
  <c r="M21" i="12"/>
  <c r="M20" i="12"/>
  <c r="M19" i="12"/>
  <c r="A88" i="3" l="1"/>
  <c r="A96" i="9" l="1"/>
  <c r="A97" i="9"/>
  <c r="A98" i="9"/>
  <c r="A99" i="9"/>
  <c r="A100" i="9"/>
  <c r="A101" i="9"/>
  <c r="A102" i="9"/>
  <c r="A103" i="9"/>
  <c r="A104" i="9"/>
  <c r="A105" i="9"/>
  <c r="E95" i="9"/>
  <c r="E103" i="9" s="1"/>
  <c r="E94" i="9"/>
  <c r="L93" i="9"/>
  <c r="N93" i="9"/>
  <c r="O93" i="9"/>
  <c r="L92" i="9"/>
  <c r="N92" i="9"/>
  <c r="O92" i="9"/>
  <c r="A90" i="9"/>
  <c r="A91" i="9"/>
  <c r="A92" i="9"/>
  <c r="A93" i="9"/>
  <c r="A94" i="9"/>
  <c r="A95" i="9"/>
  <c r="E98" i="9" l="1"/>
  <c r="E104" i="9"/>
  <c r="E100" i="9"/>
  <c r="E105" i="9"/>
  <c r="E96" i="9"/>
  <c r="E101" i="9"/>
  <c r="E97" i="9"/>
  <c r="E102" i="9"/>
  <c r="E99" i="9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6" i="3"/>
  <c r="A87" i="3"/>
  <c r="E20" i="3"/>
  <c r="E46" i="3" l="1"/>
  <c r="E45" i="3"/>
  <c r="E43" i="3"/>
  <c r="E51" i="3" s="1"/>
  <c r="E41" i="3"/>
  <c r="E42" i="3"/>
  <c r="E36" i="3"/>
  <c r="E37" i="3" s="1"/>
  <c r="E39" i="3"/>
  <c r="E44" i="3" l="1"/>
  <c r="E35" i="3"/>
  <c r="E33" i="3"/>
  <c r="E32" i="3"/>
  <c r="E30" i="3"/>
  <c r="E28" i="3"/>
  <c r="E27" i="3" l="1"/>
  <c r="E48" i="3" s="1"/>
  <c r="E50" i="3"/>
  <c r="E49" i="3"/>
  <c r="E24" i="3"/>
  <c r="E52" i="3" s="1"/>
  <c r="E81" i="3"/>
  <c r="E82" i="3" s="1"/>
  <c r="A14" i="3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14" i="4"/>
  <c r="E80" i="3"/>
  <c r="E79" i="3"/>
  <c r="R9" i="12"/>
  <c r="S9" i="12" s="1"/>
  <c r="P9" i="12"/>
  <c r="Q9" i="12" s="1"/>
  <c r="O9" i="12"/>
  <c r="N9" i="12"/>
  <c r="K9" i="12"/>
  <c r="M9" i="12" s="1"/>
  <c r="J9" i="12"/>
  <c r="L9" i="12" s="1"/>
  <c r="G9" i="12"/>
  <c r="I9" i="12" s="1"/>
  <c r="B9" i="12"/>
  <c r="B4" i="12"/>
  <c r="E26" i="3" l="1"/>
  <c r="H9" i="12"/>
  <c r="E25" i="3" l="1"/>
  <c r="G5" i="12"/>
  <c r="I5" i="12" s="1"/>
  <c r="K5" i="12"/>
  <c r="M5" i="12" s="1"/>
  <c r="N5" i="12"/>
  <c r="R4" i="12"/>
  <c r="O4" i="12"/>
  <c r="N4" i="12"/>
  <c r="K4" i="12"/>
  <c r="G4" i="12"/>
  <c r="D11" i="12"/>
  <c r="D13" i="12"/>
  <c r="K22" i="12"/>
  <c r="G22" i="12"/>
  <c r="I22" i="12" s="1"/>
  <c r="K21" i="12"/>
  <c r="G21" i="12"/>
  <c r="I21" i="12" s="1"/>
  <c r="K20" i="12"/>
  <c r="G20" i="12"/>
  <c r="I20" i="12" s="1"/>
  <c r="K19" i="12"/>
  <c r="G19" i="12"/>
  <c r="I19" i="12" s="1"/>
  <c r="E35" i="4" s="1"/>
  <c r="N18" i="12"/>
  <c r="K18" i="12"/>
  <c r="M18" i="12" s="1"/>
  <c r="G18" i="12"/>
  <c r="I18" i="12" s="1"/>
  <c r="N17" i="12"/>
  <c r="K17" i="12"/>
  <c r="M17" i="12" s="1"/>
  <c r="G17" i="12"/>
  <c r="I17" i="12" s="1"/>
  <c r="N16" i="12"/>
  <c r="K16" i="12"/>
  <c r="M16" i="12" s="1"/>
  <c r="G16" i="12"/>
  <c r="I16" i="12" s="1"/>
  <c r="N15" i="12"/>
  <c r="K15" i="12"/>
  <c r="M15" i="12" s="1"/>
  <c r="G15" i="12"/>
  <c r="I15" i="12" s="1"/>
  <c r="N14" i="12"/>
  <c r="K14" i="12"/>
  <c r="M14" i="12" s="1"/>
  <c r="G14" i="12"/>
  <c r="I14" i="12" s="1"/>
  <c r="G13" i="12"/>
  <c r="C13" i="12"/>
  <c r="N12" i="12"/>
  <c r="K12" i="12"/>
  <c r="M12" i="12" s="1"/>
  <c r="G12" i="12"/>
  <c r="I12" i="12" s="1"/>
  <c r="G11" i="12"/>
  <c r="C11" i="12"/>
  <c r="N10" i="12"/>
  <c r="K10" i="12"/>
  <c r="M10" i="12" s="1"/>
  <c r="G10" i="12"/>
  <c r="I10" i="12" s="1"/>
  <c r="G8" i="12"/>
  <c r="C8" i="12"/>
  <c r="M8" i="12" s="1"/>
  <c r="N7" i="12"/>
  <c r="K7" i="12"/>
  <c r="M7" i="12" s="1"/>
  <c r="G7" i="12"/>
  <c r="I7" i="12" s="1"/>
  <c r="G6" i="12"/>
  <c r="C6" i="12"/>
  <c r="V1" i="12"/>
  <c r="E40" i="4" l="1"/>
  <c r="E39" i="4"/>
  <c r="E38" i="4"/>
  <c r="E37" i="4"/>
  <c r="E36" i="4"/>
  <c r="K13" i="12"/>
  <c r="M13" i="12"/>
  <c r="K6" i="12"/>
  <c r="M6" i="12"/>
  <c r="K11" i="12"/>
  <c r="M11" i="12"/>
  <c r="N23" i="12"/>
  <c r="E44" i="4" s="1"/>
  <c r="S4" i="12"/>
  <c r="I4" i="12"/>
  <c r="G23" i="12"/>
  <c r="M4" i="12"/>
  <c r="E57" i="3"/>
  <c r="E56" i="3"/>
  <c r="E53" i="3"/>
  <c r="E55" i="3" s="1"/>
  <c r="E54" i="3"/>
  <c r="I8" i="12"/>
  <c r="J4" i="12"/>
  <c r="P4" i="12"/>
  <c r="I13" i="12"/>
  <c r="H4" i="12"/>
  <c r="I11" i="12"/>
  <c r="I6" i="12"/>
  <c r="K8" i="12"/>
  <c r="C23" i="12"/>
  <c r="E28" i="4" l="1"/>
  <c r="Q4" i="12"/>
  <c r="I23" i="12"/>
  <c r="M23" i="12"/>
  <c r="E45" i="4" s="1"/>
  <c r="K23" i="12"/>
  <c r="E42" i="4" s="1"/>
  <c r="E51" i="4" s="1"/>
  <c r="E46" i="4" s="1"/>
  <c r="L4" i="12"/>
  <c r="A44" i="5"/>
  <c r="A45" i="5"/>
  <c r="E45" i="5"/>
  <c r="E44" i="5"/>
  <c r="E41" i="5"/>
  <c r="E40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14" i="5"/>
  <c r="E38" i="5"/>
  <c r="E37" i="5"/>
  <c r="E36" i="5"/>
  <c r="E35" i="5"/>
  <c r="E34" i="5"/>
  <c r="L33" i="5"/>
  <c r="N33" i="5"/>
  <c r="O33" i="5"/>
  <c r="E29" i="5"/>
  <c r="E28" i="5"/>
  <c r="E27" i="5"/>
  <c r="E25" i="5"/>
  <c r="E26" i="5"/>
  <c r="E23" i="5"/>
  <c r="E22" i="5"/>
  <c r="E15" i="5"/>
  <c r="E17" i="5" s="1"/>
  <c r="E30" i="4" l="1"/>
  <c r="E33" i="4"/>
  <c r="E29" i="4"/>
  <c r="E32" i="4"/>
  <c r="E31" i="4"/>
  <c r="E47" i="4"/>
  <c r="E49" i="4"/>
  <c r="E48" i="4"/>
  <c r="E50" i="4"/>
  <c r="E18" i="5"/>
  <c r="E19" i="5" s="1"/>
  <c r="E16" i="5"/>
  <c r="E21" i="5" l="1"/>
  <c r="E14" i="5"/>
  <c r="E31" i="5" s="1"/>
  <c r="E18" i="8"/>
  <c r="E65" i="9"/>
  <c r="E64" i="9"/>
  <c r="E63" i="9"/>
  <c r="E62" i="9"/>
  <c r="A16" i="9" l="1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15" i="9"/>
  <c r="E44" i="9"/>
  <c r="E43" i="9"/>
  <c r="E41" i="9"/>
  <c r="E40" i="9"/>
  <c r="E39" i="9" l="1"/>
  <c r="L39" i="9" s="1"/>
  <c r="E38" i="9"/>
  <c r="O39" i="9" l="1"/>
  <c r="N39" i="9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6" i="10"/>
  <c r="L32" i="5" l="1"/>
  <c r="N32" i="5"/>
  <c r="O32" i="5"/>
  <c r="C57" i="5" l="1"/>
  <c r="C54" i="5"/>
  <c r="C49" i="5"/>
  <c r="C89" i="6"/>
  <c r="C86" i="6"/>
  <c r="C81" i="6"/>
  <c r="C31" i="7"/>
  <c r="C28" i="7"/>
  <c r="C23" i="7"/>
  <c r="C41" i="8"/>
  <c r="C38" i="8"/>
  <c r="C33" i="8"/>
  <c r="C117" i="9"/>
  <c r="C114" i="9"/>
  <c r="C109" i="9"/>
  <c r="C166" i="10"/>
  <c r="C163" i="10"/>
  <c r="C158" i="10"/>
  <c r="C63" i="4"/>
  <c r="C60" i="4"/>
  <c r="C55" i="4"/>
  <c r="C100" i="3"/>
  <c r="C97" i="3"/>
  <c r="C92" i="3"/>
  <c r="A35" i="2"/>
  <c r="A52" i="5" s="1"/>
  <c r="P10" i="5" s="1"/>
  <c r="A95" i="3" l="1"/>
  <c r="P10" i="3" s="1"/>
  <c r="A161" i="10"/>
  <c r="P10" i="10" s="1"/>
  <c r="A36" i="8"/>
  <c r="P10" i="8" s="1"/>
  <c r="A84" i="6"/>
  <c r="P10" i="6" s="1"/>
  <c r="A58" i="4"/>
  <c r="P10" i="4" s="1"/>
  <c r="A112" i="9"/>
  <c r="P10" i="9" s="1"/>
  <c r="A26" i="7"/>
  <c r="P10" i="7" s="1"/>
  <c r="D9" i="2"/>
  <c r="D8" i="2"/>
  <c r="D7" i="2"/>
  <c r="D6" i="2"/>
  <c r="D7" i="10" l="1"/>
  <c r="D7" i="9"/>
  <c r="D7" i="8"/>
  <c r="D7" i="7"/>
  <c r="D7" i="6"/>
  <c r="D7" i="5"/>
  <c r="D7" i="4"/>
  <c r="D8" i="10"/>
  <c r="D8" i="9"/>
  <c r="D8" i="8"/>
  <c r="D8" i="7"/>
  <c r="D8" i="6"/>
  <c r="D8" i="5"/>
  <c r="D8" i="4"/>
  <c r="D5" i="10"/>
  <c r="D5" i="9"/>
  <c r="D5" i="8"/>
  <c r="D5" i="7"/>
  <c r="D5" i="6"/>
  <c r="D5" i="5"/>
  <c r="D5" i="4"/>
  <c r="D6" i="10"/>
  <c r="D6" i="9"/>
  <c r="D6" i="8"/>
  <c r="D6" i="7"/>
  <c r="D6" i="6"/>
  <c r="D6" i="5"/>
  <c r="D6" i="4"/>
  <c r="D6" i="3"/>
  <c r="D7" i="3"/>
  <c r="D5" i="3"/>
  <c r="D8" i="3"/>
  <c r="H15" i="6"/>
  <c r="H16" i="6"/>
  <c r="H28" i="6"/>
  <c r="H30" i="6"/>
  <c r="H31" i="6"/>
  <c r="H32" i="6"/>
  <c r="H33" i="6"/>
  <c r="H34" i="6"/>
  <c r="H45" i="6"/>
  <c r="H46" i="6"/>
  <c r="H47" i="6"/>
  <c r="H48" i="6"/>
  <c r="H51" i="6"/>
  <c r="H52" i="6"/>
  <c r="H53" i="6"/>
  <c r="H54" i="6"/>
  <c r="H55" i="6"/>
  <c r="H56" i="6"/>
  <c r="H57" i="6"/>
  <c r="H59" i="6"/>
  <c r="H60" i="6"/>
  <c r="H61" i="6"/>
  <c r="H62" i="6"/>
  <c r="H63" i="6"/>
  <c r="H65" i="6"/>
  <c r="H66" i="6"/>
  <c r="H67" i="6"/>
  <c r="H69" i="6"/>
  <c r="H71" i="6"/>
  <c r="H72" i="6"/>
  <c r="H73" i="6"/>
  <c r="H75" i="6"/>
  <c r="H76" i="6"/>
  <c r="H15" i="7"/>
  <c r="H16" i="7"/>
  <c r="H18" i="7"/>
  <c r="H16" i="8"/>
  <c r="H18" i="8"/>
  <c r="H20" i="8"/>
  <c r="H22" i="8"/>
  <c r="H28" i="8"/>
  <c r="H16" i="9"/>
  <c r="H18" i="9"/>
  <c r="H20" i="9"/>
  <c r="H22" i="9"/>
  <c r="H24" i="9"/>
  <c r="H26" i="9"/>
  <c r="H28" i="9"/>
  <c r="H33" i="9"/>
  <c r="H35" i="9"/>
  <c r="H37" i="9"/>
  <c r="H40" i="9"/>
  <c r="H42" i="9"/>
  <c r="H44" i="9"/>
  <c r="H46" i="9"/>
  <c r="H48" i="9"/>
  <c r="H50" i="9"/>
  <c r="H52" i="9"/>
  <c r="H54" i="9"/>
  <c r="H56" i="9"/>
  <c r="H58" i="9"/>
  <c r="H60" i="9"/>
  <c r="H61" i="9"/>
  <c r="H65" i="9"/>
  <c r="H67" i="9"/>
  <c r="H69" i="9"/>
  <c r="H71" i="9"/>
  <c r="H73" i="9"/>
  <c r="H75" i="9"/>
  <c r="H77" i="9"/>
  <c r="H79" i="9"/>
  <c r="H81" i="9"/>
  <c r="H83" i="9"/>
  <c r="H85" i="9"/>
  <c r="H87" i="9"/>
  <c r="H90" i="9"/>
  <c r="H14" i="6"/>
  <c r="H14" i="7"/>
  <c r="H14" i="9"/>
  <c r="L45" i="6"/>
  <c r="L49" i="6"/>
  <c r="L69" i="6"/>
  <c r="L73" i="6"/>
  <c r="H29" i="6"/>
  <c r="H50" i="6"/>
  <c r="H58" i="6"/>
  <c r="H70" i="6"/>
  <c r="H74" i="6"/>
  <c r="H19" i="7"/>
  <c r="H17" i="8"/>
  <c r="H21" i="8"/>
  <c r="H29" i="8"/>
  <c r="H15" i="9"/>
  <c r="H19" i="9"/>
  <c r="H23" i="9"/>
  <c r="H27" i="9"/>
  <c r="H30" i="9"/>
  <c r="H34" i="9"/>
  <c r="H38" i="9"/>
  <c r="H43" i="9"/>
  <c r="H47" i="9"/>
  <c r="H55" i="9"/>
  <c r="H59" i="9"/>
  <c r="H62" i="9"/>
  <c r="H66" i="9"/>
  <c r="H70" i="9"/>
  <c r="H74" i="9"/>
  <c r="H78" i="9"/>
  <c r="H82" i="9"/>
  <c r="H86" i="9"/>
  <c r="H89" i="9"/>
  <c r="N17" i="4"/>
  <c r="N18" i="4"/>
  <c r="N19" i="4"/>
  <c r="N21" i="4"/>
  <c r="N22" i="4"/>
  <c r="N23" i="4"/>
  <c r="N25" i="4"/>
  <c r="N26" i="4"/>
  <c r="N28" i="4"/>
  <c r="N29" i="4"/>
  <c r="N31" i="4"/>
  <c r="N32" i="4"/>
  <c r="N33" i="4"/>
  <c r="N34" i="4"/>
  <c r="N35" i="4"/>
  <c r="N37" i="4"/>
  <c r="N38" i="4"/>
  <c r="N39" i="4"/>
  <c r="N42" i="4"/>
  <c r="N45" i="4"/>
  <c r="N46" i="4"/>
  <c r="N47" i="4"/>
  <c r="N49" i="4"/>
  <c r="N50" i="4"/>
  <c r="N51" i="4"/>
  <c r="N16" i="5"/>
  <c r="N17" i="5"/>
  <c r="N18" i="5"/>
  <c r="N20" i="5"/>
  <c r="N21" i="5"/>
  <c r="N22" i="5"/>
  <c r="N24" i="5"/>
  <c r="N25" i="5"/>
  <c r="N26" i="5"/>
  <c r="N28" i="5"/>
  <c r="N29" i="5"/>
  <c r="N31" i="5"/>
  <c r="N14" i="4"/>
  <c r="C22" i="2"/>
  <c r="C21" i="2"/>
  <c r="C20" i="2"/>
  <c r="C19" i="2"/>
  <c r="C18" i="2"/>
  <c r="C17" i="2"/>
  <c r="C16" i="2"/>
  <c r="C15" i="2"/>
  <c r="H68" i="6"/>
  <c r="H64" i="6"/>
  <c r="H49" i="6"/>
  <c r="H35" i="6"/>
  <c r="H27" i="6"/>
  <c r="H17" i="7"/>
  <c r="H27" i="8"/>
  <c r="H19" i="8"/>
  <c r="H15" i="8"/>
  <c r="H91" i="9"/>
  <c r="H88" i="9"/>
  <c r="H84" i="9"/>
  <c r="H80" i="9"/>
  <c r="H76" i="9"/>
  <c r="H72" i="9"/>
  <c r="H68" i="9"/>
  <c r="H64" i="9"/>
  <c r="H63" i="9"/>
  <c r="H57" i="9"/>
  <c r="H53" i="9"/>
  <c r="H49" i="9"/>
  <c r="H45" i="9"/>
  <c r="H41" i="9"/>
  <c r="H36" i="9"/>
  <c r="H32" i="9"/>
  <c r="H29" i="9"/>
  <c r="H25" i="9"/>
  <c r="H21" i="9"/>
  <c r="H17" i="9"/>
  <c r="L31" i="5"/>
  <c r="H31" i="5"/>
  <c r="N30" i="5"/>
  <c r="L30" i="5"/>
  <c r="H30" i="5"/>
  <c r="L29" i="5"/>
  <c r="H29" i="5"/>
  <c r="O29" i="5" s="1"/>
  <c r="L28" i="5"/>
  <c r="H28" i="5"/>
  <c r="N27" i="5"/>
  <c r="L27" i="5"/>
  <c r="H27" i="5"/>
  <c r="M27" i="5" s="1"/>
  <c r="L26" i="5"/>
  <c r="H26" i="5"/>
  <c r="L25" i="5"/>
  <c r="H25" i="5"/>
  <c r="O25" i="5" s="1"/>
  <c r="L24" i="5"/>
  <c r="H24" i="5"/>
  <c r="N23" i="5"/>
  <c r="L23" i="5"/>
  <c r="H23" i="5"/>
  <c r="M23" i="5" s="1"/>
  <c r="L22" i="5"/>
  <c r="H22" i="5"/>
  <c r="L21" i="5"/>
  <c r="H21" i="5"/>
  <c r="O21" i="5" s="1"/>
  <c r="L20" i="5"/>
  <c r="H20" i="5"/>
  <c r="N19" i="5"/>
  <c r="L19" i="5"/>
  <c r="H19" i="5"/>
  <c r="M19" i="5" s="1"/>
  <c r="L18" i="5"/>
  <c r="H18" i="5"/>
  <c r="L17" i="5"/>
  <c r="H17" i="5"/>
  <c r="O17" i="5" s="1"/>
  <c r="L16" i="5"/>
  <c r="H16" i="5"/>
  <c r="N14" i="5"/>
  <c r="L14" i="5"/>
  <c r="H14" i="5"/>
  <c r="M14" i="5" s="1"/>
  <c r="L51" i="4"/>
  <c r="H51" i="4"/>
  <c r="L50" i="4"/>
  <c r="H50" i="4"/>
  <c r="L49" i="4"/>
  <c r="H49" i="4"/>
  <c r="O49" i="4" s="1"/>
  <c r="N48" i="4"/>
  <c r="L48" i="4"/>
  <c r="H48" i="4"/>
  <c r="L47" i="4"/>
  <c r="H47" i="4"/>
  <c r="L46" i="4"/>
  <c r="H46" i="4"/>
  <c r="L45" i="4"/>
  <c r="H45" i="4"/>
  <c r="N44" i="4"/>
  <c r="L44" i="4"/>
  <c r="H44" i="4"/>
  <c r="H43" i="4"/>
  <c r="L42" i="4"/>
  <c r="H42" i="4"/>
  <c r="H41" i="4"/>
  <c r="N40" i="4"/>
  <c r="L40" i="4"/>
  <c r="H40" i="4"/>
  <c r="L39" i="4"/>
  <c r="H39" i="4"/>
  <c r="L38" i="4"/>
  <c r="H38" i="4"/>
  <c r="L37" i="4"/>
  <c r="H37" i="4"/>
  <c r="N36" i="4"/>
  <c r="L36" i="4"/>
  <c r="H36" i="4"/>
  <c r="L35" i="4"/>
  <c r="H35" i="4"/>
  <c r="L34" i="4"/>
  <c r="H34" i="4"/>
  <c r="M34" i="4" s="1"/>
  <c r="L33" i="4"/>
  <c r="H33" i="4"/>
  <c r="L32" i="4"/>
  <c r="H32" i="4"/>
  <c r="M32" i="4" s="1"/>
  <c r="L31" i="4"/>
  <c r="H31" i="4"/>
  <c r="N30" i="4"/>
  <c r="L30" i="4"/>
  <c r="H30" i="4"/>
  <c r="L29" i="4"/>
  <c r="H29" i="4"/>
  <c r="L28" i="4"/>
  <c r="H28" i="4"/>
  <c r="N27" i="4"/>
  <c r="L27" i="4"/>
  <c r="H27" i="4"/>
  <c r="L26" i="4"/>
  <c r="H26" i="4"/>
  <c r="L25" i="4"/>
  <c r="H25" i="4"/>
  <c r="N24" i="4"/>
  <c r="L24" i="4"/>
  <c r="H24" i="4"/>
  <c r="L23" i="4"/>
  <c r="H23" i="4"/>
  <c r="L22" i="4"/>
  <c r="H22" i="4"/>
  <c r="L21" i="4"/>
  <c r="H21" i="4"/>
  <c r="N20" i="4"/>
  <c r="L20" i="4"/>
  <c r="H20" i="4"/>
  <c r="L19" i="4"/>
  <c r="H19" i="4"/>
  <c r="L18" i="4"/>
  <c r="H18" i="4"/>
  <c r="M18" i="4" s="1"/>
  <c r="L17" i="4"/>
  <c r="H17" i="4"/>
  <c r="M17" i="4" s="1"/>
  <c r="N16" i="4"/>
  <c r="L16" i="4"/>
  <c r="H16" i="4"/>
  <c r="H15" i="4"/>
  <c r="L14" i="4"/>
  <c r="H14" i="4"/>
  <c r="O14" i="4" s="1"/>
  <c r="L46" i="5" l="1"/>
  <c r="N46" i="5"/>
  <c r="G17" i="2"/>
  <c r="I17" i="2"/>
  <c r="O49" i="6"/>
  <c r="O73" i="6"/>
  <c r="O61" i="6"/>
  <c r="O57" i="6"/>
  <c r="O53" i="6"/>
  <c r="L22" i="9"/>
  <c r="L18" i="9"/>
  <c r="L28" i="8"/>
  <c r="L20" i="8"/>
  <c r="L16" i="8"/>
  <c r="L18" i="7"/>
  <c r="L32" i="6"/>
  <c r="L28" i="6"/>
  <c r="L16" i="6"/>
  <c r="N69" i="6"/>
  <c r="N65" i="6"/>
  <c r="N14" i="8"/>
  <c r="M18" i="9"/>
  <c r="O20" i="8"/>
  <c r="O22" i="9"/>
  <c r="O28" i="8"/>
  <c r="N22" i="9"/>
  <c r="N18" i="9"/>
  <c r="N28" i="8"/>
  <c r="N20" i="8"/>
  <c r="N16" i="8"/>
  <c r="N18" i="7"/>
  <c r="N32" i="6"/>
  <c r="N28" i="6"/>
  <c r="N16" i="6"/>
  <c r="M70" i="9"/>
  <c r="L31" i="9"/>
  <c r="H31" i="9"/>
  <c r="K31" i="9" s="1"/>
  <c r="L87" i="9"/>
  <c r="N83" i="9"/>
  <c r="N79" i="9"/>
  <c r="L75" i="9"/>
  <c r="N71" i="9"/>
  <c r="N60" i="9"/>
  <c r="L44" i="9"/>
  <c r="L40" i="9"/>
  <c r="N28" i="9"/>
  <c r="N73" i="6"/>
  <c r="L65" i="6"/>
  <c r="N49" i="6"/>
  <c r="N45" i="6"/>
  <c r="N61" i="6"/>
  <c r="L61" i="6"/>
  <c r="N57" i="6"/>
  <c r="L57" i="6"/>
  <c r="N53" i="6"/>
  <c r="L53" i="6"/>
  <c r="O65" i="6"/>
  <c r="O69" i="6"/>
  <c r="N85" i="9"/>
  <c r="L85" i="9"/>
  <c r="N81" i="9"/>
  <c r="L81" i="9"/>
  <c r="N77" i="9"/>
  <c r="L77" i="9"/>
  <c r="L73" i="9"/>
  <c r="N73" i="9"/>
  <c r="L69" i="9"/>
  <c r="N69" i="9"/>
  <c r="N65" i="9"/>
  <c r="L65" i="9"/>
  <c r="L61" i="9"/>
  <c r="N61" i="9"/>
  <c r="N58" i="9"/>
  <c r="L58" i="9"/>
  <c r="N54" i="9"/>
  <c r="L54" i="9"/>
  <c r="N50" i="9"/>
  <c r="L50" i="9"/>
  <c r="L46" i="9"/>
  <c r="N46" i="9"/>
  <c r="N42" i="9"/>
  <c r="L42" i="9"/>
  <c r="L37" i="9"/>
  <c r="N37" i="9"/>
  <c r="N33" i="9"/>
  <c r="L33" i="9"/>
  <c r="L26" i="9"/>
  <c r="N26" i="9"/>
  <c r="M33" i="9"/>
  <c r="O81" i="9"/>
  <c r="O61" i="9"/>
  <c r="O85" i="9"/>
  <c r="M26" i="9"/>
  <c r="O42" i="9"/>
  <c r="O50" i="9"/>
  <c r="N24" i="9"/>
  <c r="L20" i="9"/>
  <c r="N16" i="9"/>
  <c r="L51" i="9"/>
  <c r="H51" i="9"/>
  <c r="M51" i="9" s="1"/>
  <c r="K91" i="9"/>
  <c r="M18" i="7"/>
  <c r="N84" i="9"/>
  <c r="N29" i="9"/>
  <c r="N89" i="9"/>
  <c r="N62" i="9"/>
  <c r="M49" i="4"/>
  <c r="P49" i="4" s="1"/>
  <c r="M81" i="9"/>
  <c r="K41" i="9"/>
  <c r="K50" i="9"/>
  <c r="L72" i="9"/>
  <c r="M36" i="4"/>
  <c r="O36" i="4"/>
  <c r="O45" i="4"/>
  <c r="M30" i="4"/>
  <c r="O30" i="4"/>
  <c r="O38" i="4"/>
  <c r="M47" i="4"/>
  <c r="O47" i="4"/>
  <c r="M19" i="4"/>
  <c r="O19" i="4"/>
  <c r="M20" i="4"/>
  <c r="O20" i="4"/>
  <c r="O21" i="4"/>
  <c r="O25" i="4"/>
  <c r="M26" i="4"/>
  <c r="O26" i="4"/>
  <c r="M27" i="4"/>
  <c r="O27" i="4"/>
  <c r="O34" i="4"/>
  <c r="P34" i="4" s="1"/>
  <c r="M38" i="4"/>
  <c r="O42" i="4"/>
  <c r="M44" i="4"/>
  <c r="O50" i="4"/>
  <c r="M51" i="4"/>
  <c r="O51" i="4"/>
  <c r="O24" i="5"/>
  <c r="M26" i="5"/>
  <c r="O26" i="5"/>
  <c r="O27" i="5"/>
  <c r="P27" i="5" s="1"/>
  <c r="O28" i="5"/>
  <c r="O30" i="5"/>
  <c r="M22" i="4"/>
  <c r="O22" i="4"/>
  <c r="M35" i="4"/>
  <c r="O35" i="4"/>
  <c r="M16" i="4"/>
  <c r="O16" i="4"/>
  <c r="O23" i="4"/>
  <c r="O31" i="4"/>
  <c r="O37" i="4"/>
  <c r="O46" i="4"/>
  <c r="M48" i="4"/>
  <c r="O48" i="4"/>
  <c r="O16" i="5"/>
  <c r="M18" i="5"/>
  <c r="O18" i="5"/>
  <c r="O19" i="5"/>
  <c r="P19" i="5" s="1"/>
  <c r="O31" i="5"/>
  <c r="O28" i="4"/>
  <c r="O17" i="4"/>
  <c r="P17" i="4" s="1"/>
  <c r="M24" i="4"/>
  <c r="O24" i="4"/>
  <c r="M29" i="4"/>
  <c r="O29" i="4"/>
  <c r="O32" i="4"/>
  <c r="P32" i="4" s="1"/>
  <c r="O18" i="4"/>
  <c r="P18" i="4" s="1"/>
  <c r="M28" i="4"/>
  <c r="M33" i="4"/>
  <c r="O33" i="4"/>
  <c r="M39" i="4"/>
  <c r="O39" i="4"/>
  <c r="M40" i="4"/>
  <c r="M45" i="4"/>
  <c r="K49" i="4"/>
  <c r="O20" i="5"/>
  <c r="M22" i="5"/>
  <c r="O22" i="5"/>
  <c r="O23" i="5"/>
  <c r="P23" i="5" s="1"/>
  <c r="M30" i="5"/>
  <c r="K36" i="9"/>
  <c r="K47" i="9"/>
  <c r="K53" i="9"/>
  <c r="K28" i="9"/>
  <c r="M37" i="9"/>
  <c r="O37" i="9"/>
  <c r="M54" i="9"/>
  <c r="O54" i="9"/>
  <c r="O58" i="9"/>
  <c r="K83" i="9"/>
  <c r="K90" i="9"/>
  <c r="O18" i="9"/>
  <c r="K34" i="9"/>
  <c r="M50" i="9"/>
  <c r="K59" i="9"/>
  <c r="O65" i="9"/>
  <c r="M65" i="9"/>
  <c r="K68" i="9"/>
  <c r="K16" i="7"/>
  <c r="K35" i="9"/>
  <c r="K44" i="9"/>
  <c r="M46" i="9"/>
  <c r="K52" i="9"/>
  <c r="M58" i="9"/>
  <c r="K60" i="9"/>
  <c r="K70" i="9"/>
  <c r="M73" i="9"/>
  <c r="O77" i="9"/>
  <c r="M77" i="9"/>
  <c r="K81" i="9"/>
  <c r="K84" i="9"/>
  <c r="K21" i="8"/>
  <c r="K59" i="6"/>
  <c r="K75" i="6"/>
  <c r="O80" i="9"/>
  <c r="K21" i="9"/>
  <c r="M16" i="6"/>
  <c r="K16" i="6"/>
  <c r="O50" i="6"/>
  <c r="O66" i="6"/>
  <c r="K71" i="6"/>
  <c r="O26" i="9"/>
  <c r="O33" i="9"/>
  <c r="M69" i="9"/>
  <c r="O82" i="9"/>
  <c r="K67" i="6"/>
  <c r="K17" i="7"/>
  <c r="M16" i="8"/>
  <c r="K47" i="6"/>
  <c r="K63" i="6"/>
  <c r="K74" i="6"/>
  <c r="L89" i="9"/>
  <c r="O89" i="9"/>
  <c r="M86" i="9"/>
  <c r="L86" i="9"/>
  <c r="N86" i="9"/>
  <c r="L82" i="9"/>
  <c r="N82" i="9"/>
  <c r="L78" i="9"/>
  <c r="N78" i="9"/>
  <c r="O74" i="9"/>
  <c r="N74" i="9"/>
  <c r="L74" i="9"/>
  <c r="L70" i="9"/>
  <c r="N70" i="9"/>
  <c r="N66" i="9"/>
  <c r="L66" i="9"/>
  <c r="L62" i="9"/>
  <c r="L59" i="9"/>
  <c r="N59" i="9"/>
  <c r="M59" i="9"/>
  <c r="N55" i="9"/>
  <c r="L55" i="9"/>
  <c r="N51" i="9"/>
  <c r="N47" i="9"/>
  <c r="L47" i="9"/>
  <c r="N43" i="9"/>
  <c r="L43" i="9"/>
  <c r="L38" i="9"/>
  <c r="N38" i="9"/>
  <c r="M34" i="9"/>
  <c r="L34" i="9"/>
  <c r="N34" i="9"/>
  <c r="L30" i="9"/>
  <c r="N30" i="9"/>
  <c r="N27" i="9"/>
  <c r="L27" i="9"/>
  <c r="L23" i="9"/>
  <c r="N23" i="9"/>
  <c r="N19" i="9"/>
  <c r="M19" i="9"/>
  <c r="L19" i="9"/>
  <c r="L15" i="9"/>
  <c r="N15" i="9"/>
  <c r="N29" i="8"/>
  <c r="L29" i="8"/>
  <c r="N21" i="8"/>
  <c r="L21" i="8"/>
  <c r="N17" i="8"/>
  <c r="L17" i="8"/>
  <c r="O19" i="7"/>
  <c r="N19" i="7"/>
  <c r="L19" i="7"/>
  <c r="O15" i="7"/>
  <c r="N15" i="7"/>
  <c r="L15" i="7"/>
  <c r="M74" i="6"/>
  <c r="L74" i="6"/>
  <c r="N74" i="6"/>
  <c r="L70" i="6"/>
  <c r="N70" i="6"/>
  <c r="M70" i="6"/>
  <c r="N66" i="6"/>
  <c r="M66" i="6"/>
  <c r="L66" i="6"/>
  <c r="N62" i="6"/>
  <c r="M62" i="6"/>
  <c r="L62" i="6"/>
  <c r="M58" i="6"/>
  <c r="L58" i="6"/>
  <c r="N58" i="6"/>
  <c r="L54" i="6"/>
  <c r="N54" i="6"/>
  <c r="M54" i="6"/>
  <c r="N50" i="6"/>
  <c r="M50" i="6"/>
  <c r="L50" i="6"/>
  <c r="N46" i="6"/>
  <c r="M46" i="6"/>
  <c r="L46" i="6"/>
  <c r="N33" i="6"/>
  <c r="M33" i="6"/>
  <c r="L33" i="6"/>
  <c r="L29" i="6"/>
  <c r="N29" i="6"/>
  <c r="M29" i="6"/>
  <c r="M17" i="8"/>
  <c r="M29" i="8"/>
  <c r="M19" i="7"/>
  <c r="M21" i="8"/>
  <c r="O63" i="9"/>
  <c r="O56" i="9"/>
  <c r="L14" i="8"/>
  <c r="H14" i="8"/>
  <c r="M14" i="8" s="1"/>
  <c r="K30" i="6"/>
  <c r="K34" i="6"/>
  <c r="K14" i="4"/>
  <c r="K14" i="9"/>
  <c r="O18" i="7"/>
  <c r="O33" i="6"/>
  <c r="O29" i="6"/>
  <c r="O14" i="9"/>
  <c r="O14" i="5"/>
  <c r="K20" i="9"/>
  <c r="K15" i="8"/>
  <c r="K19" i="8"/>
  <c r="K29" i="6"/>
  <c r="K18" i="7"/>
  <c r="O27" i="9"/>
  <c r="O23" i="9"/>
  <c r="O19" i="9"/>
  <c r="O15" i="9"/>
  <c r="O45" i="6"/>
  <c r="O32" i="6"/>
  <c r="O28" i="6"/>
  <c r="K33" i="6"/>
  <c r="K27" i="8"/>
  <c r="K15" i="9"/>
  <c r="K18" i="8"/>
  <c r="K19" i="9"/>
  <c r="K23" i="9"/>
  <c r="K27" i="9"/>
  <c r="M67" i="9"/>
  <c r="M48" i="9"/>
  <c r="K22" i="8"/>
  <c r="L14" i="7"/>
  <c r="N14" i="7"/>
  <c r="O14" i="6"/>
  <c r="N14" i="6"/>
  <c r="L14" i="6"/>
  <c r="L91" i="9"/>
  <c r="O91" i="9"/>
  <c r="N91" i="9"/>
  <c r="L88" i="9"/>
  <c r="N88" i="9"/>
  <c r="O88" i="9"/>
  <c r="O84" i="9"/>
  <c r="L84" i="9"/>
  <c r="L80" i="9"/>
  <c r="N80" i="9"/>
  <c r="O76" i="9"/>
  <c r="N76" i="9"/>
  <c r="L76" i="9"/>
  <c r="O72" i="9"/>
  <c r="N72" i="9"/>
  <c r="O68" i="9"/>
  <c r="N68" i="9"/>
  <c r="L68" i="9"/>
  <c r="L64" i="9"/>
  <c r="O64" i="9"/>
  <c r="N64" i="9"/>
  <c r="L57" i="9"/>
  <c r="O57" i="9"/>
  <c r="N57" i="9"/>
  <c r="O53" i="9"/>
  <c r="N53" i="9"/>
  <c r="L53" i="9"/>
  <c r="O49" i="9"/>
  <c r="N49" i="9"/>
  <c r="L49" i="9"/>
  <c r="N45" i="9"/>
  <c r="O45" i="9"/>
  <c r="L45" i="9"/>
  <c r="L41" i="9"/>
  <c r="O41" i="9"/>
  <c r="N41" i="9"/>
  <c r="L36" i="9"/>
  <c r="O36" i="9"/>
  <c r="N36" i="9"/>
  <c r="L32" i="9"/>
  <c r="O32" i="9"/>
  <c r="N32" i="9"/>
  <c r="L29" i="9"/>
  <c r="L25" i="9"/>
  <c r="N25" i="9"/>
  <c r="O25" i="9"/>
  <c r="O21" i="9"/>
  <c r="N21" i="9"/>
  <c r="L21" i="9"/>
  <c r="O17" i="9"/>
  <c r="N17" i="9"/>
  <c r="L17" i="9"/>
  <c r="O27" i="8"/>
  <c r="N27" i="8"/>
  <c r="L27" i="8"/>
  <c r="N19" i="8"/>
  <c r="M19" i="8"/>
  <c r="L19" i="8"/>
  <c r="O19" i="8"/>
  <c r="N15" i="8"/>
  <c r="L15" i="8"/>
  <c r="O15" i="8"/>
  <c r="N17" i="7"/>
  <c r="L17" i="7"/>
  <c r="O17" i="7"/>
  <c r="L76" i="6"/>
  <c r="O76" i="6"/>
  <c r="N76" i="6"/>
  <c r="O72" i="6"/>
  <c r="N72" i="6"/>
  <c r="L72" i="6"/>
  <c r="L68" i="6"/>
  <c r="O68" i="6"/>
  <c r="N68" i="6"/>
  <c r="O64" i="6"/>
  <c r="N64" i="6"/>
  <c r="L64" i="6"/>
  <c r="L60" i="6"/>
  <c r="O60" i="6"/>
  <c r="N60" i="6"/>
  <c r="O56" i="6"/>
  <c r="N56" i="6"/>
  <c r="L56" i="6"/>
  <c r="L52" i="6"/>
  <c r="O52" i="6"/>
  <c r="N52" i="6"/>
  <c r="O48" i="6"/>
  <c r="N48" i="6"/>
  <c r="L48" i="6"/>
  <c r="L35" i="6"/>
  <c r="O35" i="6"/>
  <c r="N35" i="6"/>
  <c r="O31" i="6"/>
  <c r="N31" i="6"/>
  <c r="L31" i="6"/>
  <c r="L27" i="6"/>
  <c r="O27" i="6"/>
  <c r="N27" i="6"/>
  <c r="O15" i="6"/>
  <c r="N15" i="6"/>
  <c r="L15" i="6"/>
  <c r="M91" i="9"/>
  <c r="M29" i="9"/>
  <c r="M49" i="9"/>
  <c r="M41" i="9"/>
  <c r="M84" i="9"/>
  <c r="M88" i="9"/>
  <c r="M36" i="9"/>
  <c r="M45" i="9"/>
  <c r="M68" i="9"/>
  <c r="M80" i="9"/>
  <c r="M21" i="9"/>
  <c r="M53" i="9"/>
  <c r="M72" i="9"/>
  <c r="M17" i="7"/>
  <c r="K16" i="4"/>
  <c r="M25" i="4"/>
  <c r="K27" i="4"/>
  <c r="M46" i="4"/>
  <c r="P46" i="4" s="1"/>
  <c r="K48" i="4"/>
  <c r="M25" i="5"/>
  <c r="P25" i="5" s="1"/>
  <c r="K25" i="5"/>
  <c r="M21" i="4"/>
  <c r="M23" i="4"/>
  <c r="M31" i="4"/>
  <c r="M37" i="4"/>
  <c r="M42" i="4"/>
  <c r="M50" i="4"/>
  <c r="M29" i="5"/>
  <c r="P29" i="5" s="1"/>
  <c r="K29" i="5"/>
  <c r="M17" i="5"/>
  <c r="P17" i="5" s="1"/>
  <c r="K17" i="5"/>
  <c r="K20" i="4"/>
  <c r="K30" i="4"/>
  <c r="M21" i="5"/>
  <c r="P21" i="5" s="1"/>
  <c r="K21" i="5"/>
  <c r="K18" i="5"/>
  <c r="K22" i="5"/>
  <c r="K26" i="5"/>
  <c r="K74" i="9"/>
  <c r="M74" i="9"/>
  <c r="M25" i="9"/>
  <c r="K25" i="9"/>
  <c r="M32" i="9"/>
  <c r="K32" i="9"/>
  <c r="M42" i="9"/>
  <c r="K42" i="9"/>
  <c r="M64" i="9"/>
  <c r="K64" i="9"/>
  <c r="M17" i="9"/>
  <c r="K17" i="9"/>
  <c r="M57" i="9"/>
  <c r="K57" i="9"/>
  <c r="M76" i="9"/>
  <c r="K76" i="9"/>
  <c r="M85" i="9"/>
  <c r="K85" i="9"/>
  <c r="M28" i="8"/>
  <c r="K28" i="8"/>
  <c r="M22" i="9"/>
  <c r="K22" i="9"/>
  <c r="M61" i="9"/>
  <c r="K61" i="9"/>
  <c r="K89" i="9"/>
  <c r="M89" i="9"/>
  <c r="K45" i="9"/>
  <c r="K49" i="9"/>
  <c r="K72" i="9"/>
  <c r="K80" i="9"/>
  <c r="K88" i="9"/>
  <c r="M15" i="9"/>
  <c r="M30" i="9"/>
  <c r="M55" i="9"/>
  <c r="M28" i="6"/>
  <c r="K28" i="6"/>
  <c r="M45" i="6"/>
  <c r="K45" i="6"/>
  <c r="M53" i="6"/>
  <c r="K53" i="6"/>
  <c r="M61" i="6"/>
  <c r="K61" i="6"/>
  <c r="M69" i="6"/>
  <c r="K69" i="6"/>
  <c r="M32" i="6"/>
  <c r="K32" i="6"/>
  <c r="M49" i="6"/>
  <c r="K49" i="6"/>
  <c r="M57" i="6"/>
  <c r="K57" i="6"/>
  <c r="M65" i="6"/>
  <c r="K65" i="6"/>
  <c r="M73" i="6"/>
  <c r="K73" i="6"/>
  <c r="M14" i="4"/>
  <c r="P14" i="4" s="1"/>
  <c r="N14" i="9"/>
  <c r="L14" i="9"/>
  <c r="M14" i="9"/>
  <c r="O90" i="9"/>
  <c r="N90" i="9"/>
  <c r="L90" i="9"/>
  <c r="O87" i="9"/>
  <c r="N87" i="9"/>
  <c r="L83" i="9"/>
  <c r="O83" i="9"/>
  <c r="L79" i="9"/>
  <c r="O79" i="9"/>
  <c r="N75" i="9"/>
  <c r="L71" i="9"/>
  <c r="O71" i="9"/>
  <c r="N67" i="9"/>
  <c r="L67" i="9"/>
  <c r="N63" i="9"/>
  <c r="L63" i="9"/>
  <c r="L60" i="9"/>
  <c r="O60" i="9"/>
  <c r="N56" i="9"/>
  <c r="L56" i="9"/>
  <c r="O52" i="9"/>
  <c r="N52" i="9"/>
  <c r="L52" i="9"/>
  <c r="O48" i="9"/>
  <c r="N48" i="9"/>
  <c r="L48" i="9"/>
  <c r="O44" i="9"/>
  <c r="N44" i="9"/>
  <c r="O40" i="9"/>
  <c r="N40" i="9"/>
  <c r="O35" i="9"/>
  <c r="N35" i="9"/>
  <c r="L35" i="9"/>
  <c r="O31" i="9"/>
  <c r="N31" i="9"/>
  <c r="L28" i="9"/>
  <c r="O28" i="9"/>
  <c r="L24" i="9"/>
  <c r="O24" i="9"/>
  <c r="O20" i="9"/>
  <c r="N20" i="9"/>
  <c r="L16" i="9"/>
  <c r="O16" i="9"/>
  <c r="L22" i="8"/>
  <c r="O22" i="8"/>
  <c r="N22" i="8"/>
  <c r="M22" i="8"/>
  <c r="O18" i="8"/>
  <c r="N18" i="8"/>
  <c r="M18" i="8"/>
  <c r="L18" i="8"/>
  <c r="L16" i="7"/>
  <c r="N16" i="7"/>
  <c r="O16" i="7"/>
  <c r="O75" i="6"/>
  <c r="N75" i="6"/>
  <c r="M75" i="6"/>
  <c r="L75" i="6"/>
  <c r="O71" i="6"/>
  <c r="N71" i="6"/>
  <c r="M71" i="6"/>
  <c r="L71" i="6"/>
  <c r="O67" i="6"/>
  <c r="N67" i="6"/>
  <c r="M67" i="6"/>
  <c r="L67" i="6"/>
  <c r="L63" i="6"/>
  <c r="O63" i="6"/>
  <c r="N63" i="6"/>
  <c r="M63" i="6"/>
  <c r="L59" i="6"/>
  <c r="O59" i="6"/>
  <c r="N59" i="6"/>
  <c r="M59" i="6"/>
  <c r="L55" i="6"/>
  <c r="N55" i="6"/>
  <c r="M55" i="6"/>
  <c r="L51" i="6"/>
  <c r="N51" i="6"/>
  <c r="M51" i="6"/>
  <c r="M47" i="6"/>
  <c r="L47" i="6"/>
  <c r="O47" i="6"/>
  <c r="N47" i="6"/>
  <c r="M34" i="6"/>
  <c r="L34" i="6"/>
  <c r="O34" i="6"/>
  <c r="N34" i="6"/>
  <c r="M30" i="6"/>
  <c r="L30" i="6"/>
  <c r="O30" i="6"/>
  <c r="N30" i="6"/>
  <c r="M28" i="9"/>
  <c r="M56" i="9"/>
  <c r="M60" i="9"/>
  <c r="M63" i="9"/>
  <c r="M83" i="9"/>
  <c r="M20" i="9"/>
  <c r="M24" i="9"/>
  <c r="M44" i="9"/>
  <c r="M71" i="9"/>
  <c r="M75" i="9"/>
  <c r="M79" i="9"/>
  <c r="M35" i="9"/>
  <c r="M40" i="9"/>
  <c r="M52" i="9"/>
  <c r="M87" i="9"/>
  <c r="M90" i="9"/>
  <c r="M16" i="7"/>
  <c r="K14" i="6"/>
  <c r="M14" i="6"/>
  <c r="O14" i="7"/>
  <c r="M16" i="5"/>
  <c r="M20" i="5"/>
  <c r="M24" i="5"/>
  <c r="M28" i="5"/>
  <c r="M31" i="5"/>
  <c r="M16" i="9"/>
  <c r="K16" i="9"/>
  <c r="K56" i="9"/>
  <c r="K71" i="9"/>
  <c r="K87" i="9"/>
  <c r="M27" i="9"/>
  <c r="M43" i="9"/>
  <c r="M66" i="9"/>
  <c r="M82" i="9"/>
  <c r="M23" i="9"/>
  <c r="K24" i="9"/>
  <c r="M38" i="9"/>
  <c r="K40" i="9"/>
  <c r="M47" i="9"/>
  <c r="K48" i="9"/>
  <c r="M62" i="9"/>
  <c r="K63" i="9"/>
  <c r="M78" i="9"/>
  <c r="K79" i="9"/>
  <c r="M20" i="8"/>
  <c r="K20" i="8"/>
  <c r="K19" i="7"/>
  <c r="M15" i="8"/>
  <c r="M27" i="8"/>
  <c r="K14" i="7"/>
  <c r="M14" i="7"/>
  <c r="M15" i="7"/>
  <c r="P15" i="7" s="1"/>
  <c r="K15" i="7"/>
  <c r="M15" i="6"/>
  <c r="K15" i="6"/>
  <c r="M48" i="6"/>
  <c r="K48" i="6"/>
  <c r="M64" i="6"/>
  <c r="K64" i="6"/>
  <c r="M27" i="6"/>
  <c r="K27" i="6"/>
  <c r="M52" i="6"/>
  <c r="K52" i="6"/>
  <c r="M68" i="6"/>
  <c r="K68" i="6"/>
  <c r="M31" i="6"/>
  <c r="K31" i="6"/>
  <c r="M56" i="6"/>
  <c r="K56" i="6"/>
  <c r="M72" i="6"/>
  <c r="K72" i="6"/>
  <c r="M35" i="6"/>
  <c r="K35" i="6"/>
  <c r="M60" i="6"/>
  <c r="K60" i="6"/>
  <c r="M76" i="6"/>
  <c r="K76" i="6"/>
  <c r="K19" i="4"/>
  <c r="K22" i="4"/>
  <c r="K26" i="4"/>
  <c r="K47" i="4"/>
  <c r="K51" i="4"/>
  <c r="K15" i="4"/>
  <c r="K29" i="4"/>
  <c r="K33" i="4"/>
  <c r="K35" i="4"/>
  <c r="K39" i="4"/>
  <c r="K43" i="4"/>
  <c r="P81" i="9" l="1"/>
  <c r="K51" i="9"/>
  <c r="P22" i="9"/>
  <c r="P38" i="4"/>
  <c r="P35" i="4"/>
  <c r="P61" i="9"/>
  <c r="P28" i="8"/>
  <c r="P39" i="4"/>
  <c r="P26" i="4"/>
  <c r="P27" i="4"/>
  <c r="P16" i="4"/>
  <c r="P22" i="4"/>
  <c r="P51" i="4"/>
  <c r="P27" i="8"/>
  <c r="P15" i="8"/>
  <c r="P20" i="8"/>
  <c r="P69" i="6"/>
  <c r="P73" i="6"/>
  <c r="P61" i="6"/>
  <c r="P49" i="6"/>
  <c r="P53" i="6"/>
  <c r="P65" i="6"/>
  <c r="P48" i="6"/>
  <c r="P36" i="4"/>
  <c r="P14" i="6"/>
  <c r="P68" i="6"/>
  <c r="P27" i="6"/>
  <c r="P57" i="6"/>
  <c r="N78" i="6"/>
  <c r="G18" i="2" s="1"/>
  <c r="P56" i="6"/>
  <c r="P72" i="6"/>
  <c r="P31" i="6"/>
  <c r="P52" i="6"/>
  <c r="L78" i="6"/>
  <c r="I18" i="2" s="1"/>
  <c r="P26" i="5"/>
  <c r="P23" i="4"/>
  <c r="P30" i="4"/>
  <c r="P21" i="4"/>
  <c r="P19" i="4"/>
  <c r="M31" i="9"/>
  <c r="M106" i="9" s="1"/>
  <c r="F21" i="2" s="1"/>
  <c r="P58" i="9"/>
  <c r="P33" i="9"/>
  <c r="L106" i="9"/>
  <c r="I21" i="2" s="1"/>
  <c r="N106" i="9"/>
  <c r="G21" i="2" s="1"/>
  <c r="P48" i="4"/>
  <c r="P33" i="4"/>
  <c r="P45" i="4"/>
  <c r="P42" i="4"/>
  <c r="P20" i="4"/>
  <c r="P47" i="4"/>
  <c r="P29" i="4"/>
  <c r="O46" i="5"/>
  <c r="P28" i="5"/>
  <c r="P20" i="5"/>
  <c r="P18" i="5"/>
  <c r="P30" i="5"/>
  <c r="P31" i="5"/>
  <c r="P16" i="5"/>
  <c r="P24" i="5"/>
  <c r="P22" i="5"/>
  <c r="P26" i="9"/>
  <c r="P18" i="9"/>
  <c r="P50" i="9"/>
  <c r="P27" i="9"/>
  <c r="P85" i="9"/>
  <c r="P42" i="9"/>
  <c r="P15" i="6"/>
  <c r="P14" i="5"/>
  <c r="P64" i="6"/>
  <c r="P76" i="6"/>
  <c r="P35" i="6"/>
  <c r="P25" i="4"/>
  <c r="P60" i="6"/>
  <c r="P24" i="4"/>
  <c r="P28" i="4"/>
  <c r="P18" i="7"/>
  <c r="P31" i="4"/>
  <c r="P23" i="9"/>
  <c r="P65" i="9"/>
  <c r="P15" i="9"/>
  <c r="P16" i="9"/>
  <c r="P37" i="9"/>
  <c r="P89" i="9"/>
  <c r="P37" i="4"/>
  <c r="P50" i="4"/>
  <c r="P29" i="6"/>
  <c r="P74" i="9"/>
  <c r="P33" i="6"/>
  <c r="K51" i="6"/>
  <c r="O51" i="6"/>
  <c r="P51" i="6" s="1"/>
  <c r="K75" i="9"/>
  <c r="O75" i="9"/>
  <c r="P75" i="9" s="1"/>
  <c r="K55" i="6"/>
  <c r="O55" i="6"/>
  <c r="P55" i="6" s="1"/>
  <c r="P32" i="6"/>
  <c r="K67" i="9"/>
  <c r="O67" i="9"/>
  <c r="P67" i="9" s="1"/>
  <c r="O14" i="8"/>
  <c r="P14" i="8" s="1"/>
  <c r="P19" i="7"/>
  <c r="P77" i="9"/>
  <c r="K29" i="8"/>
  <c r="O29" i="8"/>
  <c r="P29" i="8" s="1"/>
  <c r="K17" i="8"/>
  <c r="O17" i="8"/>
  <c r="P17" i="8" s="1"/>
  <c r="P45" i="6"/>
  <c r="P68" i="9"/>
  <c r="P35" i="9"/>
  <c r="P44" i="9"/>
  <c r="P90" i="9"/>
  <c r="O16" i="6"/>
  <c r="P16" i="6" s="1"/>
  <c r="P54" i="9"/>
  <c r="K29" i="9"/>
  <c r="O29" i="9"/>
  <c r="P29" i="9" s="1"/>
  <c r="P56" i="9"/>
  <c r="P45" i="9"/>
  <c r="P57" i="9"/>
  <c r="K36" i="4"/>
  <c r="O47" i="9"/>
  <c r="P47" i="9" s="1"/>
  <c r="P20" i="9"/>
  <c r="P17" i="9"/>
  <c r="P25" i="9"/>
  <c r="K62" i="6"/>
  <c r="O62" i="6"/>
  <c r="P62" i="6" s="1"/>
  <c r="P80" i="9"/>
  <c r="K54" i="6"/>
  <c r="O54" i="6"/>
  <c r="P54" i="6" s="1"/>
  <c r="P34" i="6"/>
  <c r="P87" i="9"/>
  <c r="P79" i="9"/>
  <c r="P75" i="6"/>
  <c r="O16" i="8"/>
  <c r="P16" i="8" s="1"/>
  <c r="K16" i="8"/>
  <c r="K30" i="9"/>
  <c r="O30" i="9"/>
  <c r="P30" i="9" s="1"/>
  <c r="K55" i="9"/>
  <c r="O55" i="9"/>
  <c r="P55" i="9" s="1"/>
  <c r="K66" i="9"/>
  <c r="O66" i="9"/>
  <c r="P66" i="9" s="1"/>
  <c r="K43" i="9"/>
  <c r="O43" i="9"/>
  <c r="P43" i="9" s="1"/>
  <c r="P53" i="9"/>
  <c r="P84" i="9"/>
  <c r="P71" i="9"/>
  <c r="P24" i="9"/>
  <c r="P59" i="6"/>
  <c r="P63" i="6"/>
  <c r="O51" i="9"/>
  <c r="P51" i="9" s="1"/>
  <c r="P60" i="9"/>
  <c r="P47" i="6"/>
  <c r="K86" i="9"/>
  <c r="O86" i="9"/>
  <c r="P86" i="9" s="1"/>
  <c r="O34" i="9"/>
  <c r="P34" i="9" s="1"/>
  <c r="O59" i="9"/>
  <c r="P59" i="9" s="1"/>
  <c r="P19" i="9"/>
  <c r="K54" i="9"/>
  <c r="K62" i="9"/>
  <c r="O62" i="9"/>
  <c r="P62" i="9" s="1"/>
  <c r="K38" i="9"/>
  <c r="O38" i="9"/>
  <c r="P38" i="9" s="1"/>
  <c r="K58" i="6"/>
  <c r="O58" i="6"/>
  <c r="P58" i="6" s="1"/>
  <c r="K46" i="6"/>
  <c r="O46" i="6"/>
  <c r="P46" i="6" s="1"/>
  <c r="K70" i="6"/>
  <c r="O70" i="6"/>
  <c r="P70" i="6" s="1"/>
  <c r="K78" i="9"/>
  <c r="O78" i="9"/>
  <c r="P78" i="9" s="1"/>
  <c r="K31" i="5"/>
  <c r="K37" i="4"/>
  <c r="O70" i="9"/>
  <c r="P70" i="9" s="1"/>
  <c r="K24" i="4"/>
  <c r="O74" i="6"/>
  <c r="P74" i="6" s="1"/>
  <c r="P19" i="8"/>
  <c r="K23" i="4"/>
  <c r="K41" i="4"/>
  <c r="K42" i="4"/>
  <c r="P88" i="9"/>
  <c r="K50" i="4"/>
  <c r="K27" i="5"/>
  <c r="K24" i="5"/>
  <c r="P67" i="6"/>
  <c r="N20" i="7"/>
  <c r="G19" i="2" s="1"/>
  <c r="L20" i="7"/>
  <c r="I19" i="2" s="1"/>
  <c r="N30" i="8"/>
  <c r="G20" i="2" s="1"/>
  <c r="P28" i="9"/>
  <c r="P52" i="9"/>
  <c r="P83" i="9"/>
  <c r="P17" i="7"/>
  <c r="P72" i="9"/>
  <c r="L155" i="10"/>
  <c r="I22" i="2" s="1"/>
  <c r="P14" i="9"/>
  <c r="P28" i="6"/>
  <c r="P66" i="6"/>
  <c r="K18" i="9"/>
  <c r="P50" i="6"/>
  <c r="K82" i="9"/>
  <c r="K66" i="6"/>
  <c r="K50" i="6"/>
  <c r="O73" i="9"/>
  <c r="P73" i="9" s="1"/>
  <c r="K73" i="9"/>
  <c r="K37" i="9"/>
  <c r="K58" i="9"/>
  <c r="K23" i="5"/>
  <c r="K20" i="5"/>
  <c r="K18" i="4"/>
  <c r="K17" i="4"/>
  <c r="K28" i="4"/>
  <c r="K34" i="4"/>
  <c r="K38" i="4"/>
  <c r="K45" i="4"/>
  <c r="P82" i="9"/>
  <c r="O21" i="8"/>
  <c r="O46" i="9"/>
  <c r="P46" i="9" s="1"/>
  <c r="K46" i="9"/>
  <c r="K65" i="9"/>
  <c r="K32" i="4"/>
  <c r="K19" i="5"/>
  <c r="K16" i="5"/>
  <c r="K46" i="4"/>
  <c r="K31" i="4"/>
  <c r="K30" i="5"/>
  <c r="K28" i="5"/>
  <c r="K33" i="9"/>
  <c r="K26" i="9"/>
  <c r="K77" i="9"/>
  <c r="K44" i="4"/>
  <c r="O44" i="4"/>
  <c r="P44" i="4" s="1"/>
  <c r="K25" i="4"/>
  <c r="K21" i="4"/>
  <c r="O69" i="9"/>
  <c r="P69" i="9" s="1"/>
  <c r="K69" i="9"/>
  <c r="O40" i="4"/>
  <c r="P40" i="4" s="1"/>
  <c r="K40" i="4"/>
  <c r="P64" i="9"/>
  <c r="P32" i="9"/>
  <c r="P91" i="9"/>
  <c r="P21" i="9"/>
  <c r="K14" i="5"/>
  <c r="N155" i="10"/>
  <c r="G22" i="2" s="1"/>
  <c r="P48" i="9"/>
  <c r="P36" i="9"/>
  <c r="P49" i="9"/>
  <c r="L30" i="8"/>
  <c r="I20" i="2" s="1"/>
  <c r="P76" i="9"/>
  <c r="P41" i="9"/>
  <c r="P16" i="7"/>
  <c r="P40" i="9"/>
  <c r="P18" i="8"/>
  <c r="P22" i="8"/>
  <c r="P63" i="9"/>
  <c r="P71" i="6"/>
  <c r="P30" i="6"/>
  <c r="M20" i="7"/>
  <c r="F19" i="2" s="1"/>
  <c r="P14" i="7"/>
  <c r="M78" i="6"/>
  <c r="F18" i="2" s="1"/>
  <c r="M46" i="5"/>
  <c r="F17" i="2" s="1"/>
  <c r="M30" i="8"/>
  <c r="F20" i="2" s="1"/>
  <c r="P31" i="9" l="1"/>
  <c r="O78" i="6"/>
  <c r="H18" i="2" s="1"/>
  <c r="O106" i="9"/>
  <c r="M155" i="10"/>
  <c r="F22" i="2" s="1"/>
  <c r="K14" i="8"/>
  <c r="O20" i="7"/>
  <c r="H19" i="2" s="1"/>
  <c r="P155" i="10"/>
  <c r="E22" i="2" s="1"/>
  <c r="O30" i="8"/>
  <c r="H20" i="2" s="1"/>
  <c r="P21" i="8"/>
  <c r="P30" i="8" s="1"/>
  <c r="N9" i="8" s="1"/>
  <c r="H17" i="2"/>
  <c r="P46" i="5"/>
  <c r="E17" i="2" s="1"/>
  <c r="P20" i="7"/>
  <c r="E19" i="2" s="1"/>
  <c r="P78" i="6"/>
  <c r="N9" i="6" s="1"/>
  <c r="O155" i="10" l="1"/>
  <c r="H22" i="2" s="1"/>
  <c r="B16" i="2"/>
  <c r="D1" i="4"/>
  <c r="B17" i="2"/>
  <c r="D1" i="5"/>
  <c r="B22" i="2"/>
  <c r="D1" i="10"/>
  <c r="B19" i="2"/>
  <c r="D1" i="7"/>
  <c r="H21" i="2"/>
  <c r="P106" i="9"/>
  <c r="N9" i="9" s="1"/>
  <c r="E18" i="2"/>
  <c r="N9" i="5"/>
  <c r="N9" i="10"/>
  <c r="N9" i="7"/>
  <c r="E20" i="2"/>
  <c r="B18" i="2" l="1"/>
  <c r="D1" i="6"/>
  <c r="B20" i="2"/>
  <c r="D1" i="8"/>
  <c r="E21" i="2"/>
  <c r="B21" i="2" l="1"/>
  <c r="D1" i="9" s="1"/>
  <c r="H14" i="3"/>
  <c r="N88" i="3"/>
  <c r="L88" i="3"/>
  <c r="H88" i="3"/>
  <c r="N87" i="3"/>
  <c r="L87" i="3"/>
  <c r="H87" i="3"/>
  <c r="N86" i="3"/>
  <c r="L86" i="3"/>
  <c r="H86" i="3"/>
  <c r="N81" i="3"/>
  <c r="L81" i="3"/>
  <c r="H81" i="3"/>
  <c r="N80" i="3"/>
  <c r="L80" i="3"/>
  <c r="H80" i="3"/>
  <c r="N79" i="3"/>
  <c r="L79" i="3"/>
  <c r="H79" i="3"/>
  <c r="N78" i="3"/>
  <c r="L78" i="3"/>
  <c r="H78" i="3"/>
  <c r="N77" i="3"/>
  <c r="L77" i="3"/>
  <c r="H77" i="3"/>
  <c r="N76" i="3"/>
  <c r="L76" i="3"/>
  <c r="H76" i="3"/>
  <c r="N75" i="3"/>
  <c r="L75" i="3"/>
  <c r="H75" i="3"/>
  <c r="N74" i="3"/>
  <c r="L74" i="3"/>
  <c r="H74" i="3"/>
  <c r="N73" i="3"/>
  <c r="L73" i="3"/>
  <c r="H73" i="3"/>
  <c r="N72" i="3"/>
  <c r="L72" i="3"/>
  <c r="H72" i="3"/>
  <c r="N71" i="3"/>
  <c r="L71" i="3"/>
  <c r="H71" i="3"/>
  <c r="N70" i="3"/>
  <c r="L70" i="3"/>
  <c r="H70" i="3"/>
  <c r="N69" i="3"/>
  <c r="L69" i="3"/>
  <c r="H69" i="3"/>
  <c r="N68" i="3"/>
  <c r="L68" i="3"/>
  <c r="H68" i="3"/>
  <c r="N67" i="3"/>
  <c r="L67" i="3"/>
  <c r="H67" i="3"/>
  <c r="N66" i="3"/>
  <c r="L66" i="3"/>
  <c r="H66" i="3"/>
  <c r="N65" i="3"/>
  <c r="L65" i="3"/>
  <c r="H65" i="3"/>
  <c r="H63" i="3"/>
  <c r="H62" i="3"/>
  <c r="H61" i="3"/>
  <c r="H60" i="3"/>
  <c r="H59" i="3"/>
  <c r="H58" i="3"/>
  <c r="N51" i="3"/>
  <c r="L51" i="3"/>
  <c r="H51" i="3"/>
  <c r="N50" i="3"/>
  <c r="L50" i="3"/>
  <c r="H50" i="3"/>
  <c r="N49" i="3"/>
  <c r="L49" i="3"/>
  <c r="H49" i="3"/>
  <c r="N48" i="3"/>
  <c r="L48" i="3"/>
  <c r="H48" i="3"/>
  <c r="N46" i="3"/>
  <c r="L46" i="3"/>
  <c r="H46" i="3"/>
  <c r="N43" i="3"/>
  <c r="L43" i="3"/>
  <c r="H43" i="3"/>
  <c r="N42" i="3"/>
  <c r="L42" i="3"/>
  <c r="H42" i="3"/>
  <c r="N41" i="3"/>
  <c r="L41" i="3"/>
  <c r="H41" i="3"/>
  <c r="N40" i="3"/>
  <c r="L40" i="3"/>
  <c r="H40" i="3"/>
  <c r="N39" i="3"/>
  <c r="L39" i="3"/>
  <c r="H39" i="3"/>
  <c r="N38" i="3"/>
  <c r="L38" i="3"/>
  <c r="H38" i="3"/>
  <c r="N37" i="3"/>
  <c r="L37" i="3"/>
  <c r="H37" i="3"/>
  <c r="N36" i="3"/>
  <c r="L36" i="3"/>
  <c r="H36" i="3"/>
  <c r="N35" i="3"/>
  <c r="L35" i="3"/>
  <c r="H35" i="3"/>
  <c r="N33" i="3"/>
  <c r="L33" i="3"/>
  <c r="H33" i="3"/>
  <c r="N32" i="3"/>
  <c r="L32" i="3"/>
  <c r="H32" i="3"/>
  <c r="N31" i="3"/>
  <c r="L31" i="3"/>
  <c r="H31" i="3"/>
  <c r="N30" i="3"/>
  <c r="L30" i="3"/>
  <c r="H30" i="3"/>
  <c r="N29" i="3"/>
  <c r="L29" i="3"/>
  <c r="H29" i="3"/>
  <c r="N28" i="3"/>
  <c r="L28" i="3"/>
  <c r="H28" i="3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M14" i="3"/>
  <c r="L14" i="3"/>
  <c r="O69" i="3" l="1"/>
  <c r="O70" i="3"/>
  <c r="M71" i="3"/>
  <c r="O71" i="3"/>
  <c r="M72" i="3"/>
  <c r="O72" i="3"/>
  <c r="O15" i="3"/>
  <c r="M16" i="3"/>
  <c r="O16" i="3"/>
  <c r="O17" i="3"/>
  <c r="O18" i="3"/>
  <c r="M19" i="3"/>
  <c r="O19" i="3"/>
  <c r="M20" i="3"/>
  <c r="O20" i="3"/>
  <c r="O21" i="3"/>
  <c r="O22" i="3"/>
  <c r="M23" i="3"/>
  <c r="O23" i="3"/>
  <c r="M24" i="3"/>
  <c r="O24" i="3"/>
  <c r="O25" i="3"/>
  <c r="O26" i="3"/>
  <c r="M27" i="3"/>
  <c r="O27" i="3"/>
  <c r="M28" i="3"/>
  <c r="O28" i="3"/>
  <c r="O29" i="3"/>
  <c r="O30" i="3"/>
  <c r="M31" i="3"/>
  <c r="O31" i="3"/>
  <c r="M32" i="3"/>
  <c r="O32" i="3"/>
  <c r="O33" i="3"/>
  <c r="O35" i="3"/>
  <c r="M36" i="3"/>
  <c r="O36" i="3"/>
  <c r="M37" i="3"/>
  <c r="O37" i="3"/>
  <c r="O38" i="3"/>
  <c r="O39" i="3"/>
  <c r="M40" i="3"/>
  <c r="O40" i="3"/>
  <c r="M41" i="3"/>
  <c r="O41" i="3"/>
  <c r="O42" i="3"/>
  <c r="O43" i="3"/>
  <c r="O73" i="3"/>
  <c r="O74" i="3"/>
  <c r="M75" i="3"/>
  <c r="O75" i="3"/>
  <c r="M76" i="3"/>
  <c r="O46" i="3"/>
  <c r="M48" i="3"/>
  <c r="O48" i="3"/>
  <c r="O77" i="3"/>
  <c r="O78" i="3"/>
  <c r="M79" i="3"/>
  <c r="O79" i="3"/>
  <c r="M80" i="3"/>
  <c r="O80" i="3"/>
  <c r="O49" i="3"/>
  <c r="O50" i="3"/>
  <c r="M51" i="3"/>
  <c r="O51" i="3"/>
  <c r="O65" i="3"/>
  <c r="O66" i="3"/>
  <c r="M67" i="3"/>
  <c r="O67" i="3"/>
  <c r="M68" i="3"/>
  <c r="O81" i="3"/>
  <c r="O86" i="3"/>
  <c r="M87" i="3"/>
  <c r="O87" i="3"/>
  <c r="M88" i="3"/>
  <c r="O14" i="3"/>
  <c r="P14" i="3" s="1"/>
  <c r="M17" i="3"/>
  <c r="M21" i="3"/>
  <c r="M25" i="3"/>
  <c r="M29" i="3"/>
  <c r="M33" i="3"/>
  <c r="M38" i="3"/>
  <c r="M42" i="3"/>
  <c r="M49" i="3"/>
  <c r="M65" i="3"/>
  <c r="M69" i="3"/>
  <c r="K71" i="3"/>
  <c r="M73" i="3"/>
  <c r="M77" i="3"/>
  <c r="M81" i="3"/>
  <c r="M15" i="3"/>
  <c r="M18" i="3"/>
  <c r="M22" i="3"/>
  <c r="M26" i="3"/>
  <c r="M30" i="3"/>
  <c r="M35" i="3"/>
  <c r="M39" i="3"/>
  <c r="M43" i="3"/>
  <c r="M46" i="3"/>
  <c r="M50" i="3"/>
  <c r="M66" i="3"/>
  <c r="M70" i="3"/>
  <c r="M74" i="3"/>
  <c r="M78" i="3"/>
  <c r="M86" i="3"/>
  <c r="P41" i="3" l="1"/>
  <c r="P16" i="3"/>
  <c r="P25" i="3"/>
  <c r="P17" i="3"/>
  <c r="P20" i="3"/>
  <c r="P73" i="3"/>
  <c r="P71" i="3"/>
  <c r="P42" i="3"/>
  <c r="P33" i="3"/>
  <c r="P29" i="3"/>
  <c r="P87" i="3"/>
  <c r="P80" i="3"/>
  <c r="P48" i="3"/>
  <c r="P69" i="3"/>
  <c r="P38" i="3"/>
  <c r="P21" i="3"/>
  <c r="P77" i="3"/>
  <c r="P75" i="3"/>
  <c r="P36" i="3"/>
  <c r="P32" i="3"/>
  <c r="P27" i="3"/>
  <c r="P24" i="3"/>
  <c r="P19" i="3"/>
  <c r="P72" i="3"/>
  <c r="P30" i="3"/>
  <c r="K75" i="3"/>
  <c r="P65" i="3"/>
  <c r="K19" i="3"/>
  <c r="P70" i="3"/>
  <c r="K41" i="3"/>
  <c r="P40" i="3"/>
  <c r="P37" i="3"/>
  <c r="P31" i="3"/>
  <c r="P28" i="3"/>
  <c r="P23" i="3"/>
  <c r="P46" i="3"/>
  <c r="P78" i="3"/>
  <c r="K27" i="3"/>
  <c r="P39" i="3"/>
  <c r="K24" i="3"/>
  <c r="P15" i="3"/>
  <c r="K36" i="3"/>
  <c r="P50" i="3"/>
  <c r="K32" i="3"/>
  <c r="P22" i="3"/>
  <c r="P66" i="3"/>
  <c r="K87" i="3"/>
  <c r="P81" i="3"/>
  <c r="K51" i="3"/>
  <c r="K37" i="3"/>
  <c r="K28" i="3"/>
  <c r="P74" i="3"/>
  <c r="P43" i="3"/>
  <c r="P35" i="3"/>
  <c r="P26" i="3"/>
  <c r="P18" i="3"/>
  <c r="K20" i="3"/>
  <c r="K16" i="3"/>
  <c r="K61" i="3"/>
  <c r="K40" i="3"/>
  <c r="K31" i="3"/>
  <c r="K23" i="3"/>
  <c r="K79" i="3"/>
  <c r="K60" i="3"/>
  <c r="K59" i="3"/>
  <c r="K66" i="3"/>
  <c r="P79" i="3"/>
  <c r="K77" i="3"/>
  <c r="K63" i="3"/>
  <c r="P49" i="3"/>
  <c r="K67" i="3"/>
  <c r="K80" i="3"/>
  <c r="P67" i="3"/>
  <c r="K65" i="3"/>
  <c r="P51" i="3"/>
  <c r="K48" i="3"/>
  <c r="K78" i="3"/>
  <c r="K46" i="3"/>
  <c r="O88" i="3"/>
  <c r="P88" i="3" s="1"/>
  <c r="K88" i="3"/>
  <c r="K86" i="3"/>
  <c r="O68" i="3"/>
  <c r="P68" i="3" s="1"/>
  <c r="K68" i="3"/>
  <c r="K49" i="3"/>
  <c r="K73" i="3"/>
  <c r="K43" i="3"/>
  <c r="K39" i="3"/>
  <c r="K35" i="3"/>
  <c r="K30" i="3"/>
  <c r="K26" i="3"/>
  <c r="K22" i="3"/>
  <c r="K18" i="3"/>
  <c r="K15" i="3"/>
  <c r="K70" i="3"/>
  <c r="P86" i="3"/>
  <c r="K76" i="3"/>
  <c r="O76" i="3"/>
  <c r="P76" i="3" s="1"/>
  <c r="K72" i="3"/>
  <c r="K81" i="3"/>
  <c r="K50" i="3"/>
  <c r="K74" i="3"/>
  <c r="K62" i="3"/>
  <c r="K58" i="3"/>
  <c r="K42" i="3"/>
  <c r="K38" i="3"/>
  <c r="K33" i="3"/>
  <c r="K29" i="3"/>
  <c r="K25" i="3"/>
  <c r="K21" i="3"/>
  <c r="K17" i="3"/>
  <c r="K69" i="3"/>
  <c r="K14" i="3"/>
  <c r="B15" i="2" l="1"/>
  <c r="D1" i="3"/>
  <c r="R15" i="12" l="1"/>
  <c r="S15" i="12" s="1"/>
  <c r="R11" i="12"/>
  <c r="J11" i="12"/>
  <c r="L11" i="12" s="1"/>
  <c r="Q11" i="12"/>
  <c r="P11" i="12"/>
  <c r="P14" i="12"/>
  <c r="Q14" i="12" s="1"/>
  <c r="R17" i="12"/>
  <c r="S17" i="12" s="1"/>
  <c r="P18" i="12"/>
  <c r="Q18" i="12" s="1"/>
  <c r="J20" i="12"/>
  <c r="L20" i="12" s="1"/>
  <c r="R19" i="12"/>
  <c r="J19" i="12"/>
  <c r="L19" i="12" s="1"/>
  <c r="P20" i="12"/>
  <c r="Q20" i="12" s="1"/>
  <c r="J21" i="12"/>
  <c r="L21" i="12" s="1"/>
  <c r="R21" i="12"/>
  <c r="J12" i="12"/>
  <c r="L12" i="12" s="1"/>
  <c r="J13" i="12"/>
  <c r="L13" i="12" s="1"/>
  <c r="P13" i="12"/>
  <c r="R13" i="12"/>
  <c r="B13" i="12"/>
  <c r="H13" i="12" s="1"/>
  <c r="Q13" i="12"/>
  <c r="J14" i="12"/>
  <c r="L14" i="12" s="1"/>
  <c r="J18" i="12"/>
  <c r="L18" i="12" s="1"/>
  <c r="P12" i="12"/>
  <c r="Q12" i="12"/>
  <c r="O12" i="12"/>
  <c r="B12" i="12"/>
  <c r="H12" i="12" s="1"/>
  <c r="R12" i="12"/>
  <c r="S12" i="12" s="1"/>
  <c r="J15" i="12"/>
  <c r="L15" i="12" s="1"/>
  <c r="P15" i="12"/>
  <c r="Q15" i="12" s="1"/>
  <c r="O15" i="12"/>
  <c r="J16" i="12"/>
  <c r="L16" i="12" s="1"/>
  <c r="O16" i="12"/>
  <c r="R16" i="12"/>
  <c r="S16" i="12" s="1"/>
  <c r="P17" i="12"/>
  <c r="Q17" i="12" s="1"/>
  <c r="J17" i="12"/>
  <c r="L17" i="12" s="1"/>
  <c r="B17" i="12"/>
  <c r="H17" i="12" s="1"/>
  <c r="O17" i="12"/>
  <c r="O18" i="12"/>
  <c r="R18" i="12"/>
  <c r="S18" i="12" s="1"/>
  <c r="P19" i="12"/>
  <c r="Q19" i="12" s="1"/>
  <c r="B21" i="12"/>
  <c r="H21" i="12" s="1"/>
  <c r="P21" i="12"/>
  <c r="Q21" i="12" s="1"/>
  <c r="B19" i="12"/>
  <c r="H19" i="12" s="1"/>
  <c r="B15" i="12"/>
  <c r="H15" i="12" s="1"/>
  <c r="B11" i="12"/>
  <c r="H11" i="12" s="1"/>
  <c r="J10" i="12"/>
  <c r="L10" i="12" s="1"/>
  <c r="Q10" i="12"/>
  <c r="P10" i="12"/>
  <c r="R10" i="12"/>
  <c r="S10" i="12" s="1"/>
  <c r="O10" i="12"/>
  <c r="R14" i="12"/>
  <c r="S14" i="12" s="1"/>
  <c r="O14" i="12"/>
  <c r="B16" i="12"/>
  <c r="H16" i="12" s="1"/>
  <c r="P16" i="12"/>
  <c r="Q16" i="12" s="1"/>
  <c r="B20" i="12"/>
  <c r="H20" i="12" s="1"/>
  <c r="R20" i="12"/>
  <c r="R22" i="12"/>
  <c r="P22" i="12"/>
  <c r="Q22" i="12" s="1"/>
  <c r="J22" i="12"/>
  <c r="L22" i="12" s="1"/>
  <c r="B22" i="12"/>
  <c r="H22" i="12" s="1"/>
  <c r="B18" i="12"/>
  <c r="H18" i="12" s="1"/>
  <c r="B14" i="12"/>
  <c r="H14" i="12" s="1"/>
  <c r="B10" i="12"/>
  <c r="H10" i="12" s="1"/>
  <c r="D8" i="12"/>
  <c r="J8" i="12" s="1"/>
  <c r="L8" i="12" s="1"/>
  <c r="O7" i="12"/>
  <c r="J7" i="12"/>
  <c r="L7" i="12" s="1"/>
  <c r="Q7" i="12"/>
  <c r="R7" i="12"/>
  <c r="S7" i="12" s="1"/>
  <c r="P7" i="12"/>
  <c r="B7" i="12"/>
  <c r="H7" i="12" s="1"/>
  <c r="Q8" i="12" l="1"/>
  <c r="B8" i="12"/>
  <c r="H8" i="12" s="1"/>
  <c r="P8" i="12"/>
  <c r="R8" i="12"/>
  <c r="Q5" i="12"/>
  <c r="O5" i="12"/>
  <c r="O23" i="12" s="1"/>
  <c r="J5" i="12"/>
  <c r="R5" i="12"/>
  <c r="P5" i="12"/>
  <c r="B5" i="12"/>
  <c r="H5" i="12" s="1"/>
  <c r="D6" i="12"/>
  <c r="J6" i="12" s="1"/>
  <c r="L6" i="12" s="1"/>
  <c r="J23" i="12" l="1"/>
  <c r="E41" i="4" s="1"/>
  <c r="N41" i="4" s="1"/>
  <c r="E43" i="4"/>
  <c r="E15" i="4"/>
  <c r="S5" i="12"/>
  <c r="S23" i="12" s="1"/>
  <c r="L5" i="12"/>
  <c r="L23" i="12" s="1"/>
  <c r="E58" i="3" s="1"/>
  <c r="P6" i="12"/>
  <c r="P23" i="12" s="1"/>
  <c r="D23" i="12"/>
  <c r="B6" i="12"/>
  <c r="H6" i="12" s="1"/>
  <c r="H23" i="12" s="1"/>
  <c r="R6" i="12"/>
  <c r="R23" i="12" s="1"/>
  <c r="Q6" i="12"/>
  <c r="Q23" i="12" s="1"/>
  <c r="O41" i="4" l="1"/>
  <c r="E64" i="3"/>
  <c r="E59" i="3"/>
  <c r="E60" i="3"/>
  <c r="E61" i="3"/>
  <c r="E62" i="3"/>
  <c r="E63" i="3"/>
  <c r="N58" i="3"/>
  <c r="L58" i="3"/>
  <c r="M58" i="3"/>
  <c r="O58" i="3"/>
  <c r="M41" i="4"/>
  <c r="P41" i="4" s="1"/>
  <c r="L41" i="4"/>
  <c r="L43" i="4"/>
  <c r="N43" i="4"/>
  <c r="M43" i="4"/>
  <c r="O43" i="4"/>
  <c r="N15" i="4"/>
  <c r="L15" i="4"/>
  <c r="M15" i="4"/>
  <c r="M52" i="4" s="1"/>
  <c r="F16" i="2" s="1"/>
  <c r="O15" i="4"/>
  <c r="N52" i="4" l="1"/>
  <c r="G16" i="2" s="1"/>
  <c r="L60" i="3"/>
  <c r="N60" i="3"/>
  <c r="O60" i="3"/>
  <c r="M60" i="3"/>
  <c r="N61" i="3"/>
  <c r="L61" i="3"/>
  <c r="O61" i="3"/>
  <c r="M61" i="3"/>
  <c r="N63" i="3"/>
  <c r="L63" i="3"/>
  <c r="M63" i="3"/>
  <c r="O63" i="3"/>
  <c r="N59" i="3"/>
  <c r="L59" i="3"/>
  <c r="M59" i="3"/>
  <c r="O59" i="3"/>
  <c r="P58" i="3"/>
  <c r="N62" i="3"/>
  <c r="L62" i="3"/>
  <c r="M62" i="3"/>
  <c r="O62" i="3"/>
  <c r="L52" i="4"/>
  <c r="I16" i="2" s="1"/>
  <c r="P43" i="4"/>
  <c r="P15" i="4"/>
  <c r="O52" i="4"/>
  <c r="H16" i="2" s="1"/>
  <c r="L89" i="3" l="1"/>
  <c r="I15" i="2" s="1"/>
  <c r="N89" i="3"/>
  <c r="G15" i="2" s="1"/>
  <c r="G23" i="2" s="1"/>
  <c r="M89" i="3"/>
  <c r="F15" i="2" s="1"/>
  <c r="F23" i="2" s="1"/>
  <c r="O89" i="3"/>
  <c r="H15" i="2" s="1"/>
  <c r="H23" i="2" s="1"/>
  <c r="P59" i="3"/>
  <c r="P63" i="3"/>
  <c r="P61" i="3"/>
  <c r="I23" i="2"/>
  <c r="D11" i="2" s="1"/>
  <c r="P62" i="3"/>
  <c r="P60" i="3"/>
  <c r="P52" i="4"/>
  <c r="E16" i="2" s="1"/>
  <c r="P89" i="3" l="1"/>
  <c r="E15" i="2"/>
  <c r="N9" i="3"/>
  <c r="E23" i="2"/>
  <c r="E26" i="2" s="1"/>
  <c r="N9" i="4"/>
  <c r="E24" i="2" l="1"/>
  <c r="E25" i="2" s="1"/>
  <c r="E27" i="2" s="1"/>
  <c r="D10" i="2" l="1"/>
  <c r="E28" i="2"/>
  <c r="E29" i="2" s="1"/>
  <c r="C19" i="1" s="1"/>
  <c r="C26" i="1" s="1"/>
  <c r="C28" i="1" s="1"/>
</calcChain>
</file>

<file path=xl/sharedStrings.xml><?xml version="1.0" encoding="utf-8"?>
<sst xmlns="http://schemas.openxmlformats.org/spreadsheetml/2006/main" count="1609" uniqueCount="523">
  <si>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</si>
  <si>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</si>
  <si>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</si>
  <si>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</si>
  <si>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</si>
  <si>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</si>
  <si>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</si>
  <si>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</si>
  <si>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</si>
  <si>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</si>
  <si>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</si>
  <si>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</si>
  <si>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</si>
  <si>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</si>
  <si>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</si>
  <si>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</si>
  <si>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</si>
  <si>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</si>
  <si>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</si>
  <si>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</si>
  <si>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</si>
  <si>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</si>
  <si>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</si>
  <si>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</si>
  <si>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</si>
  <si>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</si>
  <si>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</si>
  <si>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</si>
  <si>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</si>
  <si>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</si>
  <si>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</si>
  <si>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</si>
  <si>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</si>
  <si>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</si>
  <si>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</si>
  <si>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</si>
  <si>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</si>
  <si>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</si>
  <si>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</si>
  <si>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</si>
  <si>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</si>
  <si>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</si>
  <si>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</si>
  <si>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</si>
  <si>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</si>
  <si>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</si>
  <si>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</si>
  <si>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</si>
  <si>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</si>
  <si>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</si>
  <si>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</si>
  <si>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</si>
  <si>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</si>
  <si>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</si>
  <si>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</si>
  <si>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 ēka</t>
  </si>
  <si>
    <t>Daudzdzīvokļu dzīvojamās ēkas energoefektivitātes paaugstināšanas pasākumi</t>
  </si>
  <si>
    <t>Rojas iela 2, Liepāja</t>
  </si>
  <si>
    <t>WS-54-15</t>
  </si>
  <si>
    <t>Daudzdzīvokļu dzīvojamās ēkas Rojas ielā 2, Liepājā, energoefektivitātes paaugstināšanas pasākumi</t>
  </si>
  <si>
    <t>Ievērībai!</t>
  </si>
  <si>
    <t>Pretendents ir tiesīgs izmantot tikai Pasūtītāja pievienoto būvizmaksu noteikšanas tāmes veidni.</t>
  </si>
  <si>
    <t>Finanšu rezerve</t>
  </si>
  <si>
    <t>Kopā ar finanšu rezervi</t>
  </si>
  <si>
    <t>Ārsienu siltināšanas darbi</t>
  </si>
  <si>
    <t>līg.c.</t>
  </si>
  <si>
    <t>Metāla nožogojuma montāža, h=2,0 m</t>
  </si>
  <si>
    <t>m</t>
  </si>
  <si>
    <t xml:space="preserve"> </t>
  </si>
  <si>
    <t>Žogs 3,5×2m</t>
  </si>
  <si>
    <t>gab</t>
  </si>
  <si>
    <t>Pēda</t>
  </si>
  <si>
    <t xml:space="preserve">Sastatņu montēšana </t>
  </si>
  <si>
    <t>m²</t>
  </si>
  <si>
    <t>Sastatnes</t>
  </si>
  <si>
    <t>Moduļu tualetes uzstādīšana</t>
  </si>
  <si>
    <t>Tualetes izvešana</t>
  </si>
  <si>
    <t>reizes</t>
  </si>
  <si>
    <t>Moduļu mājas uzstādīšana. Paredzēts 24 cilvēkiem.</t>
  </si>
  <si>
    <t>Atkritumu konteineru izvietošana.</t>
  </si>
  <si>
    <t>Būvtāfeles uzstādīšana</t>
  </si>
  <si>
    <t xml:space="preserve">Ārsienu  siltināšana ar akmensvati līmējot un piestiprinot to pie ārsienas ar mehāniskajiem stiprinājumiem </t>
  </si>
  <si>
    <t>Grunts</t>
  </si>
  <si>
    <t>kg</t>
  </si>
  <si>
    <t>Līmjava</t>
  </si>
  <si>
    <t>S1</t>
  </si>
  <si>
    <t>Vieglbetona paneļu ārējās garansienas siltinājums  Apmetuma sistēma virs siltinājuma (AS-1) Siltinājums - fasādes akmensvate; λ=0,036W/mK b=170mm. Līmjava Gruntējums, Esošā siena vieglbetona bloki b=250mm</t>
  </si>
  <si>
    <t>S2</t>
  </si>
  <si>
    <t>Gala ārsienas siltinājums.  Apmetuma sistēma virs siltinājuma (AS-1) Siltinājums - fasādes akmensvate; λ=0,036W/mK b=170mm. Līmjava Gruntējums, Esošā siena vieglbetona bloki b=510mm</t>
  </si>
  <si>
    <t>S4</t>
  </si>
  <si>
    <t>Vieglbetona paneļu ārējās garansienas siltinājums.  Apmetuma sistēma virs siltinājuma (AS-1) Siltinājums - fasādes akmensvate; λ=0,037 W/mK b=80mm. Līmjava Gruntējums, Esošā siena vieglbetona panelis=250mm</t>
  </si>
  <si>
    <t>S5</t>
  </si>
  <si>
    <t>Tehniskās stāva siltinājums. Apmetums, grunts, Siltumizolācija putupolistirols, λ=0,034 W/mK, b=75 mm. Līmjava. Vertikālā hidroizolācija. Gruntējums. Esošā  betona bloku siena b= 400 mm</t>
  </si>
  <si>
    <t>S7</t>
  </si>
  <si>
    <t>S8</t>
  </si>
  <si>
    <t>Ārsienu siltinājums. Apmetuma sistēma virs siltinājuma (AS-1 vai AS-2). Grunts, Siltinājums poliuretāna panelis
 b=40mm, λ=0,021 W/mK, līmjava, grunts, Esošā siena vieglbetona panelis b = 250 mm</t>
  </si>
  <si>
    <t>P1</t>
  </si>
  <si>
    <t>Pārsegums virs ieejas siltinājums (zem dzīvojamām telpām). Atjaunotā betona kārta, Esošais pārsegums -betona pārsegums b=220mm.Līmjava. Siltinājums - fasādes akmensvate; λ=0,036W/mK b=170mm. Līmjava uz stiklšķiedra sieta, ārējā apdare (krāsots struktūrapmetums).</t>
  </si>
  <si>
    <t>Ārsienu  siltināšana atbilstoši mezglam ''a2'', AR-17</t>
  </si>
  <si>
    <t>Cokola profils</t>
  </si>
  <si>
    <t>Hermetizējoša mastika</t>
  </si>
  <si>
    <t>Gala līste, stiprināma ar pašskrūvējamām skrūvēm (solis 200mm)</t>
  </si>
  <si>
    <t>Akmensvates stūra elements</t>
  </si>
  <si>
    <t>Lodžiju starpstāvu pārseguma siltināšana, atbilstoši BK-7, ''lodžiju stiklojuma risinājums''</t>
  </si>
  <si>
    <t>Armējuma java</t>
  </si>
  <si>
    <t>Durvju un logu aiļu apdare ar akmensvates plātnēm b=30mm,platums~ 0,25m*</t>
  </si>
  <si>
    <t>m2</t>
  </si>
  <si>
    <t>Siets stikla šķiedra</t>
  </si>
  <si>
    <t>Lāseņu uzstādīšana atbilstoši mezglam (''Gala fasāžu sienas mezgls pēc siltināšanas'', AR-17 lapa)</t>
  </si>
  <si>
    <t>Blīvējošās lentas montēšana ap logu ailām u.c. vietām.</t>
  </si>
  <si>
    <t>Zemapmetuma PVC  ārējā stūra profila montāža</t>
  </si>
  <si>
    <t>Zemapmetuma PVC  loga pielaiduma profila montāža</t>
  </si>
  <si>
    <t>Zemapmetuma PVC logailas augšas profila montāža</t>
  </si>
  <si>
    <t>Zemapmetuma palodzes PVC profila montāža</t>
  </si>
  <si>
    <t>Zemapmetuma cokola PVC profila montēšana</t>
  </si>
  <si>
    <t>Iekšējo stūru armējums visā ēkas augstumā</t>
  </si>
  <si>
    <t>Stūra profils ar armējumu visā augstumā visos ēkas stūros</t>
  </si>
  <si>
    <t>Metāla karoga kāta turētāja montāža</t>
  </si>
  <si>
    <t>Balkonu grīdas remontdari (mezgls ''b1'', BK-7 lapa)</t>
  </si>
  <si>
    <t>Cementa java M200 kārta 20-40</t>
  </si>
  <si>
    <t>Hidroizolācija</t>
  </si>
  <si>
    <t>Hermetizējoša šuve</t>
  </si>
  <si>
    <t>Balkonu griestu apstrāde, gruntēšana krāsošana</t>
  </si>
  <si>
    <t>Būvgružu savākšana un aizvešana</t>
  </si>
  <si>
    <t>m3</t>
  </si>
  <si>
    <t>Gružu konteiners</t>
  </si>
  <si>
    <t>gb</t>
  </si>
  <si>
    <t>Logu un durvju nomaiņa</t>
  </si>
  <si>
    <t xml:space="preserve">Esošo koka logu, tsk. ārdurvju demontāža </t>
  </si>
  <si>
    <t>Esošo skārda āra palodžu demontāža, b=0,25.</t>
  </si>
  <si>
    <t>Koku un PVC lodžiju demontāža (AR-4 un AR-5 lapa)</t>
  </si>
  <si>
    <t>Lodžiju margu demontāža</t>
  </si>
  <si>
    <t>PVC logu montāža  L1  (b×h=1,15×1,5m) ; gab-20</t>
  </si>
  <si>
    <t>PVC logu montāža  L7  (b×h=2,00 ×1,45m) ; gab-3</t>
  </si>
  <si>
    <t>PVC logu montāža  L8  (b×h=2.00 ×1,45m) ; gab-2</t>
  </si>
  <si>
    <t>PVC logu montāža  L9  (b×h=1,85×1,45m) ; gab-2</t>
  </si>
  <si>
    <t>Logu montāžas palīgmateriāli uz  apjomu</t>
  </si>
  <si>
    <t>montāžas skavas</t>
  </si>
  <si>
    <t>dibeļi</t>
  </si>
  <si>
    <t>montāžas putas</t>
  </si>
  <si>
    <t>l</t>
  </si>
  <si>
    <t>skrūves</t>
  </si>
  <si>
    <t>silikona hermētiķis</t>
  </si>
  <si>
    <t>PVC durvju montāža D4 (b×h=0,7×2,2) ; gab-6</t>
  </si>
  <si>
    <t>Durvju montāžas palīgmateriāli uz  apjomu</t>
  </si>
  <si>
    <t>Difūzujas lentas montēšana nomaināmajos logos</t>
  </si>
  <si>
    <t>Jaunu krāsotu ārējo skārda palodžu montāža visiem logiem, b=0,35m*, +pārkares lāsenis 50mm</t>
  </si>
  <si>
    <t>Jaunu iekštelpu MDF palodžu montēšana, b=300mm.</t>
  </si>
  <si>
    <t>Apmetuma atjaunošana pēc logu nomaiņas telpu iekšpusē, remonts ap logu ailu.</t>
  </si>
  <si>
    <t>šinas</t>
  </si>
  <si>
    <t>reģipsis</t>
  </si>
  <si>
    <t>Montāžas līmjava</t>
  </si>
  <si>
    <t xml:space="preserve">Špaktels </t>
  </si>
  <si>
    <t>krāsa</t>
  </si>
  <si>
    <t>Līmlente</t>
  </si>
  <si>
    <t>Cokola siltināšanas darbi</t>
  </si>
  <si>
    <t>Zemes rakšanas darbi, mm 1300 platumā  un 1,0m dziļumā</t>
  </si>
  <si>
    <t>m³</t>
  </si>
  <si>
    <t>Jaunas hidroizolācijas mastikas uzklāšana visā siltinājuma augstumā</t>
  </si>
  <si>
    <t>S3</t>
  </si>
  <si>
    <t>Pamatu sienu siltinājums. Apmetuma sistēma virs siltinājuma (AS-1)  Siltinājums - ekstrudētā putupolistirola plāksne; λ=0,034 W/mK b=150mm. Līmjava Vertikālā hidroizolācija (līdz pamata apakšai) Gruntējums Esošā siena -  ribotais panelis b=350/140 mm</t>
  </si>
  <si>
    <t xml:space="preserve"> Siltumizolācija </t>
  </si>
  <si>
    <t>Cokola apmešana ar apmetumu uz minerālšķiedru sieta (b=10mm) un krāsošana</t>
  </si>
  <si>
    <t>Paligmateriāli</t>
  </si>
  <si>
    <t>komp</t>
  </si>
  <si>
    <t xml:space="preserve">Krāsa </t>
  </si>
  <si>
    <t>Cokola zemapmetuma profils</t>
  </si>
  <si>
    <t>Esošās grunts aizbēršana</t>
  </si>
  <si>
    <t>Zālāju sējumu ierīkošana</t>
  </si>
  <si>
    <t>zālāju sēklas</t>
  </si>
  <si>
    <t>Lieveņu  atjaunošana:</t>
  </si>
  <si>
    <t xml:space="preserve">Ieejas mezgls ''E'' </t>
  </si>
  <si>
    <t>Būvelementu  demontāžas darbi (BK-8 lapa)</t>
  </si>
  <si>
    <t>Vidēji rupjas smilts sagatavojamā kārta</t>
  </si>
  <si>
    <t>Blietētas šķembas</t>
  </si>
  <si>
    <t>šķembas</t>
  </si>
  <si>
    <t>Betons B20-F50-120,stiegrots ar sietu 5 Bpl, 100x100, apakšējā betona kārta – 70</t>
  </si>
  <si>
    <t>Saliekamā betona pakāpieni, to uzstādīšana</t>
  </si>
  <si>
    <t>Esošās betona sieniņas virsmas atjaunošana, špaktelēšana, gruntēšana un krāsošana</t>
  </si>
  <si>
    <t>Nerūsējošā tēraudu margu uzstādīšana</t>
  </si>
  <si>
    <t xml:space="preserve">Ieejas mezgls ''F'' </t>
  </si>
  <si>
    <t>Būvelementu  demontāžas darbi (BK-9 lapa), atbalstsiena, kāpnes un platforma</t>
  </si>
  <si>
    <t>Monolīts betons B20, F20 b=100, Ø 6 Bpl siets 100x100</t>
  </si>
  <si>
    <t>Esošā betona laukuma atjaunošana ar betona B20 izlīdzinošo kārtu</t>
  </si>
  <si>
    <t>Ieejas jumtiņas renovācija:</t>
  </si>
  <si>
    <t xml:space="preserve">      esošās jumtiņa virsmas notīrīšana</t>
  </si>
  <si>
    <t xml:space="preserve">      ar cementa javu virsmas izlīdzināšana, b=10÷20mm</t>
  </si>
  <si>
    <t xml:space="preserve">  jaukta java</t>
  </si>
  <si>
    <t xml:space="preserve">      ruberoīda seguma ieklāšana, 2 kārtas</t>
  </si>
  <si>
    <t>ruberoīda apakškārta, b=2.5 mm</t>
  </si>
  <si>
    <t>ruberoīda virskārta , b= 4 mm</t>
  </si>
  <si>
    <t>propāns -butāns</t>
  </si>
  <si>
    <t>bal</t>
  </si>
  <si>
    <t>Gropes izfrēzēšana ārsienā, hermētiķa ieklāšana</t>
  </si>
  <si>
    <t>Cinkota skārda noseglīste</t>
  </si>
  <si>
    <t xml:space="preserve">Skārds cink. </t>
  </si>
  <si>
    <t>skārda apmales( ar pārlikumu) stiprināšana b~0,5m (visās atklātās malās),</t>
  </si>
  <si>
    <t>Jumtiņa apakšvirsmas remonts:</t>
  </si>
  <si>
    <t xml:space="preserve">       plātnes apakšējās betona virsmas izdrupumu mehāniska attīrīšana</t>
  </si>
  <si>
    <t xml:space="preserve">       plātnes apakšas apstrāde ar suspensiju</t>
  </si>
  <si>
    <t xml:space="preserve">       betona aizsargkārtas atjaunošana ar remontjavu 15 mm biezumā</t>
  </si>
  <si>
    <t xml:space="preserve">       plātnes apakšējās virsmas špaktelēšana pirms krāsošanas</t>
  </si>
  <si>
    <t xml:space="preserve">       plātnes apakšējās virsmas krāsošana ar  krāsu uz gruntējuma</t>
  </si>
  <si>
    <t>Skārda teknes montēšana, Ø70.</t>
  </si>
  <si>
    <t>Skārda notekas montēšana  Ø50.</t>
  </si>
  <si>
    <t>Ieejas mezglu pārbūves darbi</t>
  </si>
  <si>
    <t>Pagraba pārseguma siltināšanas darbi</t>
  </si>
  <si>
    <t>Koka šķunīšu demontāža</t>
  </si>
  <si>
    <t>Virsmas notīrīšana</t>
  </si>
  <si>
    <t>P3</t>
  </si>
  <si>
    <t>Pārsegums virs pagrabstāva. Esošais pārsegums -betona panelis ar grīdas segumu  b=220mm.Līmjava. Gruntējums. Akmensvates lamele (0,037W/m²K) b=150mm.</t>
  </si>
  <si>
    <t xml:space="preserve"> Siltumizolācija</t>
  </si>
  <si>
    <t>Bēniņu siltināšanas darbi</t>
  </si>
  <si>
    <t xml:space="preserve">Tvaika izolācijas plēves ieklāšana uz esošā seguma </t>
  </si>
  <si>
    <t>Plēve 200 mk</t>
  </si>
  <si>
    <t>P2</t>
  </si>
  <si>
    <t>Bēniņu pārsegumu siltumizolācija, beramā akmensvate, λ=0,041W/m²K (b=350mm, ieskaitot sablīvēšanas koef. 1,1), tvaika izolācijas plēve (b=0,2mm), esošs fibrolīta plātņu slānis (b=~150mm), esošais hidroizolācijas slānis, esošais dz-betona pārsegums (b=~220mm)</t>
  </si>
  <si>
    <t>Siltumizolācija</t>
  </si>
  <si>
    <t>P5</t>
  </si>
  <si>
    <t>Bēniņu durvju uzstādīšana D-3, ar aiļu apdari un palīgmateriāliem</t>
  </si>
  <si>
    <t>Būvgružu izvešana</t>
  </si>
  <si>
    <t>Jumta rekonstrukcijas darbi</t>
  </si>
  <si>
    <t xml:space="preserve">Jumta dzegas izbūve pie garensienu siltināšanas. </t>
  </si>
  <si>
    <t>Saduršuvju attīrīšana no vecās javas , mastikas fasādē</t>
  </si>
  <si>
    <t>Antisēptizēts dēlis 40x150 gar jumta paneļu ārmalu fasādē</t>
  </si>
  <si>
    <t xml:space="preserve">Antisēptizēts dēlis 40x150 </t>
  </si>
  <si>
    <t>Pašenkurojošas bultas M12x110  dēļa enkurošanai pie paneļa, s=0,5 m</t>
  </si>
  <si>
    <t xml:space="preserve">Ģeotekstils+hidroizolācija vienā kārtā gar dzegu fasadē, b=300 </t>
  </si>
  <si>
    <t>Cementa javas b=20x100  izlīdzinošā kārta uz paneļu galiem (garenvirzienā pie dzegas)</t>
  </si>
  <si>
    <t>Jumta skārda  apšuvums gar dzegu pēc ārsienu siltināšanas, kop.b=0,5 m(pēc krāsu pases)</t>
  </si>
  <si>
    <t xml:space="preserve">skārds </t>
  </si>
  <si>
    <t xml:space="preserve">Enkuri -4x40x300 jumta skārda apšuvumam, s=500; 192 gab </t>
  </si>
  <si>
    <t>Dībeļi Ø8x100 enkuru stiprināšanai pie paneļa un dēļa (2 gab uz enkuru)</t>
  </si>
  <si>
    <t>Saduršuves gar dzegu fasādē  hermetizēšana</t>
  </si>
  <si>
    <t xml:space="preserve">Galasienu parapeta apšuvums pie galasienu siltināšanas </t>
  </si>
  <si>
    <t>Saduršuvju attīrīšana no vecās javas , mastikas fasādē un jumta pusē</t>
  </si>
  <si>
    <t>Cementa javas b=20÷40  izlīdzinošā kārta uz parapeta plātnes, b=720*, un gar paneļu pieslēgumu</t>
  </si>
  <si>
    <t xml:space="preserve">Ģeotekstils+hidroizolācija vienā kārtā gar parapeta plātni un galasienām (no abām pusēm), b=300 </t>
  </si>
  <si>
    <t>Jumta skārda RR23 parapeta apšuvums  pēc ārsienu siltināšanas, kop.b=1 m</t>
  </si>
  <si>
    <t>Enkuri -4x40x750 jumta parapeta skārda apšuvumam, s=500</t>
  </si>
  <si>
    <t>Dībeļi Ø8x100 enkuru stiprināšanai pie parapeta plātnes, 2 gab uz det.</t>
  </si>
  <si>
    <t>Saduršuvju gar parapetu fasādē un galasienām no jumta puses hermetizēšana</t>
  </si>
  <si>
    <t xml:space="preserve"> Jumta margas. </t>
  </si>
  <si>
    <t>* ķīļenkuri M10x60 margas statu stiprināšanai pie esošām dzb-na konstrukcijām</t>
  </si>
  <si>
    <t xml:space="preserve">  grunts</t>
  </si>
  <si>
    <t>Enkurošanas vietu hermētizēšana</t>
  </si>
  <si>
    <t xml:space="preserve">Dzelzsbetona tekņu augšējās  virsmas remonts </t>
  </si>
  <si>
    <t>Tekņu augšējās virsmas mehāniska attīrīšana ar smilšpapīru. Nestingru betona daļiņu un putekļu notīrīšana</t>
  </si>
  <si>
    <t>Saduršuvju iztīrīšana starp tekņu elementiem un sadurvietās ar jumta paneļiem</t>
  </si>
  <si>
    <t>Riboto paneļu saduru nosedzošo jumtiņu virsmas remonts</t>
  </si>
  <si>
    <t>Jumtiņu pilnas virsmas mehāniska attīrīšana ar smilšpapīru</t>
  </si>
  <si>
    <t>Betona virsmas remonts:</t>
  </si>
  <si>
    <t xml:space="preserve">   *atsegto stiegrojumu attīrīšana lidz kl.Sa, pretkorozijas pastrāde</t>
  </si>
  <si>
    <t xml:space="preserve">   *virsmas samitrināšana un apstrāde ar pielipšanas uzlabotāju</t>
  </si>
  <si>
    <t xml:space="preserve">   *remotjavas uzklāšana</t>
  </si>
  <si>
    <t>Speciālā apstrāde savācējpiltuves pieslegumu vietām- 0,5m plata joslā apkārt elementu (0,78m² uz vien.): ar izolējošu materiālu savācējpiltuves  piesleguma vietu pārklāšana</t>
  </si>
  <si>
    <t xml:space="preserve">    ģeotekstila ieklāšana</t>
  </si>
  <si>
    <t xml:space="preserve">    Izolējošā materiāla dublejoša kārta piesl.vietām</t>
  </si>
  <si>
    <t>Plaisu remonts</t>
  </si>
  <si>
    <t xml:space="preserve">     plaisas jāattīra, jāpaplatina ÷5mm, neskarot stiegrojumu     plaisas jāattīra, jāpaplatina ÷5mm, neskarot stiegrojumu     plaisas jāattīra, jāpaplatina ÷5mm, neskarot stiegrojumu     plaisas jāattīra, jāpaplatina ÷5mm, neskarot stiegrojumu</t>
  </si>
  <si>
    <t xml:space="preserve">     plaisas jāaizpilda ar fiksotropisku (biezu) remontjavu</t>
  </si>
  <si>
    <t>Gruntējuma-saķeres uzlabotāja, uzklāšana uz tīras, samitrinātas virsmas</t>
  </si>
  <si>
    <t>Hidroizolācijas, uzklāšana   ar augstspied. uzsmidzināšanas iekārtu</t>
  </si>
  <si>
    <t>Virsmas armēšana ar ģeotekstilu</t>
  </si>
  <si>
    <t>Hidroizolācijas, uzklāšana ar augstspied. uzsmidzināšanas iekārtu</t>
  </si>
  <si>
    <t>Aizsargslāņa ieklāšana 1 kārtā ar augstspied. uzsmidzināšanas iekārtu</t>
  </si>
  <si>
    <t xml:space="preserve"> Ventilācijas izvadu (500x700*),  jumta lūka(570x760mm)  papildus apstrāde:</t>
  </si>
  <si>
    <t>Slīpuma izveide vetkanālu vietās betona B25, F50,</t>
  </si>
  <si>
    <t>betons</t>
  </si>
  <si>
    <t xml:space="preserve">      hidroizolācijas pārklājums, pa elementa perimetru b=0,25m joslā*</t>
  </si>
  <si>
    <t xml:space="preserve">      armējums, b=0,25m joslā*</t>
  </si>
  <si>
    <t>Jaunas lietusūdens savācējpiltuves Ø110*, uzstādīšana ar čuguna aizsargrežģi pamatni un aizsargrežģi montāža</t>
  </si>
  <si>
    <t>kompl.</t>
  </si>
  <si>
    <t>Demontējams izvads starp 4.-5. starpstāvu paneli un jumtu, ∅500</t>
  </si>
  <si>
    <t>L75x50x5</t>
  </si>
  <si>
    <t>Enkuri M12x80</t>
  </si>
  <si>
    <t xml:space="preserve">Siets ∅8 AI, 100x100 </t>
  </si>
  <si>
    <t xml:space="preserve">Siets ∅6 AI, 100x100 </t>
  </si>
  <si>
    <t>Tērauda profilu apstrāde ar pretkorozijas sastāvu</t>
  </si>
  <si>
    <t>Betons B15 F50</t>
  </si>
  <si>
    <t>Vēdināšanas izvadu renovācija virs jumta daļā</t>
  </si>
  <si>
    <t>Virsmas apmešana un krāsošana</t>
  </si>
  <si>
    <t xml:space="preserve">Līmjava </t>
  </si>
  <si>
    <t xml:space="preserve">Grunts </t>
  </si>
  <si>
    <t>Jaunu skārda jumtiņu stiprināšana Ø800*</t>
  </si>
  <si>
    <t>Ēkas apkure, iekšējie tīkli</t>
  </si>
  <si>
    <t>Apkure. Koplietošanas cauruļvadi</t>
  </si>
  <si>
    <t>Esošās apkures sistēmas demontāža</t>
  </si>
  <si>
    <t>Polipropilēna caurules DN40 montāža, stiprināšana pie sienas vai griestiem</t>
  </si>
  <si>
    <t>Polipropilēna caurules DN32 montāža, stiprināšana pie sienas vai griestiem</t>
  </si>
  <si>
    <t>Polipropilēna cauruļvadu diametru maiņa DN40→DN32, montāža</t>
  </si>
  <si>
    <t>Polipropilēna cauruļvadu diametru maiņa DN32→DN25, montāža</t>
  </si>
  <si>
    <t>Polipropilēna cauruļvadu diametru maiņa DN25→DN20, montāža</t>
  </si>
  <si>
    <t>Polipropilēna cauruļvadu trejgabali DN40, montāža</t>
  </si>
  <si>
    <t>Polipropilēna cauruļvadu trejgabali DN32, montāža</t>
  </si>
  <si>
    <t>Polipropilēna cauruļvadu trejgabali DN25, montāža</t>
  </si>
  <si>
    <t>Polipropilēna cauruļvadu trejgabali DN20, montāža</t>
  </si>
  <si>
    <t>Polipropilēna cauruļvadu DN40 pagrieziens 90°</t>
  </si>
  <si>
    <t>Polipropilēna cauruļvadu DN32 pagrieziens 90°</t>
  </si>
  <si>
    <t>Polipropilēna cauruļvadu DN25 pagrieziens 90°</t>
  </si>
  <si>
    <t>Polipropilēna cauruļvadu DN20 pagrieziens 90°</t>
  </si>
  <si>
    <t>Polipropilēna cauruļvadu DN15 pagrieziens 90°</t>
  </si>
  <si>
    <t>Cauruļvadu slīdošie balsti ar pagarinājumiem un stiprinājumiem Dn40</t>
  </si>
  <si>
    <t>Cauruļvadu slīdošie balsti ar pagarinājumiem un stiprinājumiem Dn32</t>
  </si>
  <si>
    <t>Atgaisotājs automātisks, t=110 °C, P=9 bar, uzstādīšana</t>
  </si>
  <si>
    <t>Metāla konstrukcijas cauruļvadu un iekārtu stiprināšanai</t>
  </si>
  <si>
    <t>Cauruļvadu un pievienojumu fasondetaļas un veidgabali</t>
  </si>
  <si>
    <t>k-ts</t>
  </si>
  <si>
    <t>Atvērums 180×180 un izveide pagraba stāva sienā</t>
  </si>
  <si>
    <t>Ventilācijas sistēma</t>
  </si>
  <si>
    <t>Esošo gaisa nosūces restīšu 250*×150* demontāža (virtuvēs un tualetēs)</t>
  </si>
  <si>
    <t>Apkures sistēmas ieregulēšana, pārbaude un nodošana ekspluatācijā</t>
  </si>
  <si>
    <t>Vara caurules pagrieziens 90°, DN15, montāža</t>
  </si>
  <si>
    <t>Ventilis lodveida; t=110 °C; P=8 bar; Dn15; uzstādīšana</t>
  </si>
  <si>
    <t>Palīgmateriāli</t>
  </si>
  <si>
    <t>Vara caurules savienojoša mufe DN15</t>
  </si>
  <si>
    <t>Piezīme:</t>
  </si>
  <si>
    <t>• Siltināšanas un apmešanas darbi veicami saskaņā ar ETAG 004 „Eiropas tehniskā apstiprinājuma pamatnostādne ārējās siltumizolācijas sistēmām un
 apmetumam”.</t>
  </si>
  <si>
    <t xml:space="preserve">• Visiem būvmateriāliem jābūt marķētiem ar CE zīmi. </t>
  </si>
  <si>
    <t>Cokola daļā izveidojami jauni atvērumi un nepieciešamas  regulējamas žalūzijas, 250×250mm (a×h)</t>
  </si>
  <si>
    <t>Siltinājums virs kāpņu telpām. Polimēra membrānas jumta segums. Akmensvate, b=35 mm, λ=0,033 W/mK, Akmensvate, λ=0,036W/mK b=100mm, Akmensvate, λ=0,036W/mK b=150mm, tvaika izolācijas plēve b=0.2mm, Esošs fibrolīta plātņu slānis b=150 mm. Esošais hirdoizolācijas slānis, Esošais dzelzsbetona pārsegums (b=220mm).</t>
  </si>
  <si>
    <t>Polipropilēna caurules DN 25 montāža, stiprināšana pie sienas</t>
  </si>
  <si>
    <t>Polipropilēna caurules DN 20 montāža, stiprināšana pie sienas</t>
  </si>
  <si>
    <t>Polipropilēna caurules DN 15 montāža, stiprināšana pie sienas</t>
  </si>
  <si>
    <t>Polipropilēna caurules DN 50 montāža, stiprināšana pie sienas vai griestiem</t>
  </si>
  <si>
    <t>Ventilis lodveida; t=110 °C; P=8 bar; Dn50; uzstādīšana</t>
  </si>
  <si>
    <t>Ventilis lodveida; t=110 °C; P=8 bar; Dn32; uzstādīšana</t>
  </si>
  <si>
    <t>Cauruļvada DN40 termokompensācijas balsts, izbūve caur sienu/ griestiem, hermetizācija, apmetuma un krāsojuma atjaunošana</t>
  </si>
  <si>
    <t>Cauruļvada DN32 termokompensācijas balsts, izbūve caur sienu/ griestiem, hermetizācija, apmetuma un krāsojuma atjaunošana</t>
  </si>
  <si>
    <t>Cauruļvada DN25 termokompensācijas balsts, izbūve caur sienu/ griestiem, hermetizācija, apmetuma un krāsojuma atjaunošana</t>
  </si>
  <si>
    <t>Cauruļvada DN50 akmens vate un folija pārsedze, siltumizolācijas čaula, b=&gt;50 mm</t>
  </si>
  <si>
    <t>Apkures sistēmas demontāža</t>
  </si>
  <si>
    <t>Vara caurules trejgabals Dn15, montāža</t>
  </si>
  <si>
    <t>Ventilis lodveida; t=110°C; P=8 bar; Dn15; uzstādīšana</t>
  </si>
  <si>
    <t>Cauruļvada DN15 termokompensējošs balsts, izbūve caur sienu, hermetizācija, apmetuma un krāsojuma atjaunošana</t>
  </si>
  <si>
    <t>Individuāli izgatavota grīdas līste cauruļvadu nosegšanai, montāža*</t>
  </si>
  <si>
    <t>Vara cauruļvada savienojošā mufe Dn15</t>
  </si>
  <si>
    <t>Cauruļvada Ø15.0 termokompensējošs balsts, izbūve caur sienu, hermetizācija, apmetuma un krāsojuma atjaunošana</t>
  </si>
  <si>
    <t>Cauruļvada DN15 Siltumizolācijas čaula, b=&gt;30 mm, caurules siltumizolēšana</t>
  </si>
  <si>
    <t>Vara cauruļvada savienojošā mufe DN15</t>
  </si>
  <si>
    <t>Dzīvokļu siltuma uzskaites mezgls (pavisam 56 dzīvokļi)</t>
  </si>
  <si>
    <t>Ventilis lodveida; t=110 °C; P=8 bar; Dn15, montāža</t>
  </si>
  <si>
    <t>Netīrumu savācējs; t=110 °C; P=8 bar; Dn15, montāža</t>
  </si>
  <si>
    <t>Esošo ventilācijas kanālu (skursteņu, cuku) apskate, tīrīšana</t>
  </si>
  <si>
    <t>Gaisa nosūces restītes 250*×150*</t>
  </si>
  <si>
    <t>Kāpņu telpa</t>
  </si>
  <si>
    <t>Polipropilēna caurules DN15 montāža</t>
  </si>
  <si>
    <t>Cauruļvada DN15 siltumizolācijas čaula, b=&gt;30 mm, caurules siltumizolēšana</t>
  </si>
  <si>
    <t>Cauruļvada DN40 akmens vate un folija pārsedze, siltumizolācijas čaula, b=&gt;50 mm, l=0.040 W/K×m², caurules siltumizolēšana</t>
  </si>
  <si>
    <t>Cauruļvada DN32 akmens vate un folija pārsedze,  siltumizolācijas čaula, b=&gt;50 mm, l=0.040 W/K×m², caurules siltumizolēšana</t>
  </si>
  <si>
    <t>Cauruļvada DN25 akmens vate un folija pārsedze, siltumizolācijas čaula, b=&gt;30 mm, l=0.040 W/K×m², caurules siltumizolēšana</t>
  </si>
  <si>
    <t>Cauruļvada DN20 akmens vate un folija pārsedze, siltumizolācijas čaula, b=&gt;30 mm, l=0.040 W/K×m², caurules siltumizolēšana</t>
  </si>
  <si>
    <t>Cauruļvada DN15 akmens vate un folija pārsedze, siltumizolācijas čaula, b=&gt;30 mm, l=0.040 W/K×m², caurules siltumizolēšana</t>
  </si>
  <si>
    <r>
      <t>Cauruļvada DN15 siltumizolācijas čaula, b=&gt;30 mm, l=0.040 W/Kxm</t>
    </r>
    <r>
      <rPr>
        <vertAlign val="superscript"/>
        <sz val="8"/>
        <rFont val="Arial"/>
        <family val="2"/>
        <charset val="186"/>
      </rPr>
      <t>2</t>
    </r>
    <r>
      <rPr>
        <sz val="8"/>
        <color theme="1"/>
        <rFont val="Arial"/>
        <family val="2"/>
        <charset val="186"/>
      </rPr>
      <t xml:space="preserve"> caurules siltumizolēšana</t>
    </r>
  </si>
  <si>
    <t>Trīsistabu dzīvoklim Nr. 1; 5; 8; 11; 14; 44. Pavisam 6 šādi dzīvokļi</t>
  </si>
  <si>
    <t>Trīsistabu dzīvoklim Nr. 15; 19; 22; 25; 28; 29; 30; 33; 36; 39; 42; 43; 47; 50; 53; 56. Pavisam 16 šādi dzīvokļi</t>
  </si>
  <si>
    <t>Divistabu dzīvoklim Nr. 45; 48; 51; 54. Pavisam 4 šādi dzīvokļi</t>
  </si>
  <si>
    <t>. Pavisam 14 šādi dzīvokļiDivistabu dzīvoklim Nr.2; 3; 6; 9; 12; 16; 17; 20; 23; 26; 31; 34; 37; 40</t>
  </si>
  <si>
    <t>Vienistabu dzīvoklim Nr. 4; 7; 10; 13; 18; 21; 24; 27; 32; 35; 38; 41; 46; 49; 52; 55. Pavisam 16 šādi dzīvokļi</t>
  </si>
  <si>
    <t>Radiatori tiks iegādāti par iedzīvotāju llīdzekļiem</t>
  </si>
  <si>
    <t>* Metāla margas stats: - 6x40, s= 1000 mm, kopā 151 gb, l=0,8*m</t>
  </si>
  <si>
    <t>* Metāla plāksne 6×120×120, kopā 151gb</t>
  </si>
  <si>
    <t>* margu joslas -3x30, metinātas pie statiem</t>
  </si>
  <si>
    <t>* metāla margu  krāsošana, h=0,8*</t>
  </si>
  <si>
    <t>litri</t>
  </si>
  <si>
    <t>Metāla margu izbūve un krāsošana, h=0,8* m gar   parapetu saskaņā ar BK-5 rasējumu lapu:</t>
  </si>
  <si>
    <t>Jumta seguma atjaunošana. Kopā: 40 gb paneļi, platība 740,0m²; 8 gb garās teknes, platība 130,4m²; 4 gb īsās teknes, platība 34,4m²; 38 gb jumtiņi, platība 159,6m².</t>
  </si>
  <si>
    <t xml:space="preserve">Lokālu aizbetonējumu izveide, </t>
  </si>
  <si>
    <t>Mehāniski verama jumta lūkas  ar stiklplasta virsmu; axb=600*x800*, montāža.</t>
  </si>
  <si>
    <t xml:space="preserve">Metāla trepes h=2,2m* ar stiprinājumiem </t>
  </si>
  <si>
    <t>Cokola apmetuma nokalšana</t>
  </si>
  <si>
    <t>Cokola sienas sagatavošana siltināšanai - virsmu notīrīšana un gruntēšana,</t>
  </si>
  <si>
    <t>kpl</t>
  </si>
  <si>
    <t>Siets stikla šķiedra, 2 kārtās</t>
  </si>
  <si>
    <t>Apmetums</t>
  </si>
  <si>
    <t>Lietus ūdens novadīšanas joslas izbūve</t>
  </si>
  <si>
    <t>Betona bruģakmens, b=60mm</t>
  </si>
  <si>
    <t>Grants izsijas, slāņa biezums 50mm</t>
  </si>
  <si>
    <t>Šķembas fr.0-40mm biezums 50mm</t>
  </si>
  <si>
    <t>Šķembas fr.40-70mm biezums 100mm</t>
  </si>
  <si>
    <t>Ģeotekstila plēves iesegums 3mm</t>
  </si>
  <si>
    <t>bortakmens   80×200×1000</t>
  </si>
  <si>
    <t>betons B7,5</t>
  </si>
  <si>
    <t>Bortakmens betona bruģakmenim 80×200×1000</t>
  </si>
  <si>
    <t>Gaismas aku remonts saskaņā ar AR-18 norādēm</t>
  </si>
  <si>
    <t>Cementa bāzes hidroizolācijas l=375*mm ieklāšana cokola daļā</t>
  </si>
  <si>
    <t>Betona plātņu demontāža</t>
  </si>
  <si>
    <t>PVC logu montāža  L2  (b×h=1,795 ×1,5m), durvis  0,7×2,20 m; gab-5</t>
  </si>
  <si>
    <t>PVC logu montāža  L5  (b×h=1,50×1,49m), durvis  0,68×2,2 m; gab-15</t>
  </si>
  <si>
    <t>PVC logu montāža  L6  (b×h=1,5 ×1,49m), durvis  0,68×2,2 m; gab-7</t>
  </si>
  <si>
    <t>PVC logu montāža  L3  (b×h=1,795 ×1,5m, durvis  0,7×2,2 m; gab-8</t>
  </si>
  <si>
    <t>Perimetrs lentei, m</t>
  </si>
  <si>
    <t>aiļu apdares m², ailes platums</t>
  </si>
  <si>
    <t>palodzes, m</t>
  </si>
  <si>
    <t>Profili, m</t>
  </si>
  <si>
    <t>ALB-EB / Cokola profils 0,8 mm un 1.0 mm</t>
  </si>
  <si>
    <t>ALB-EW-US(01)-20 / Palodzes montāžas profils ar sietu</t>
  </si>
  <si>
    <t>ALB-EW-CS(01)-20 / Palodzes sāna pieslēguma profils</t>
  </si>
  <si>
    <t>tips</t>
  </si>
  <si>
    <t>skaits</t>
  </si>
  <si>
    <t>Loga izmērs, m</t>
  </si>
  <si>
    <t>Logu platība m²</t>
  </si>
  <si>
    <t>ārējās</t>
  </si>
  <si>
    <t>iekšējās</t>
  </si>
  <si>
    <t>Stūra profils  EC S</t>
  </si>
  <si>
    <t>Loga pielaiduma profils EW</t>
  </si>
  <si>
    <t>Stūra lāsenis ED CO2</t>
  </si>
  <si>
    <t>Palodzes montāžas profils EW US01</t>
  </si>
  <si>
    <t>Cokola profils EB PVC VARIO 220</t>
  </si>
  <si>
    <t>esošie PVC</t>
  </si>
  <si>
    <t>maināmie koka</t>
  </si>
  <si>
    <t>kopā</t>
  </si>
  <si>
    <t>L</t>
  </si>
  <si>
    <t>h</t>
  </si>
  <si>
    <t>1.gb.</t>
  </si>
  <si>
    <t>hidroizolācijas</t>
  </si>
  <si>
    <t>difūzijas</t>
  </si>
  <si>
    <t>L1</t>
  </si>
  <si>
    <t>L2</t>
  </si>
  <si>
    <t>L2 durvis</t>
  </si>
  <si>
    <t>L3</t>
  </si>
  <si>
    <t>L3 durvis</t>
  </si>
  <si>
    <t>L4</t>
  </si>
  <si>
    <t>L5</t>
  </si>
  <si>
    <t>L6</t>
  </si>
  <si>
    <t>L7</t>
  </si>
  <si>
    <t>L8</t>
  </si>
  <si>
    <t>L9</t>
  </si>
  <si>
    <t>L10</t>
  </si>
  <si>
    <t>L11</t>
  </si>
  <si>
    <t>D1</t>
  </si>
  <si>
    <t>D2</t>
  </si>
  <si>
    <t>D3</t>
  </si>
  <si>
    <t>D4</t>
  </si>
  <si>
    <t>L5 durvis</t>
  </si>
  <si>
    <t>L6 durvis</t>
  </si>
  <si>
    <t>Stūra līste</t>
  </si>
  <si>
    <t>Kāpņu telpas siena bēniņos. Apmetums un ūdens emulsijas krāsa. Grunts, līmjava, Siltumizolācija, akmens vate, λ=0,037 W/mK, b=170 mm. Līmjava. Gruntējums. Esošā  betona paneļu siena b= 250 mm. h=1,2*m; 16,7m²  uz 1 k.telpu</t>
  </si>
  <si>
    <t>Putupolistirols b=50, h=400*mm, kopējais l=116,0m</t>
  </si>
  <si>
    <t>Papildņus veltņu mat. Kārta, platums 0,7*m</t>
  </si>
  <si>
    <t>Siltinājums Paroc Linio15, b=30mm, λ=0,037 W/mK</t>
  </si>
  <si>
    <t>P4</t>
  </si>
  <si>
    <t>Jumtiņa siltinājums virs dzīvojamām telpām. Polimēra membrānas jumta segums; Akmensvate, ekvivalents PAROC ROB 80 0,038 W/Mk, b=20mm; Akmensvate (ekvivalents PAROC ROS 30 0,036 W/mK, b=140mm; Akmensvate (ekvivalents PAROC ROS 30 0,036 W/mK, b=140mm;Tvaika izolācija</t>
  </si>
  <si>
    <t>Kāpņu telpas fasādes remotjava (mezgls M1, AR-14), b=3,0*m, h=12,4*m</t>
  </si>
  <si>
    <t>Armējošā stikla šķiedras siets vienā kārtā</t>
  </si>
  <si>
    <t>Dībeļi 215mm. Siltinājumam S1, S2, P1</t>
  </si>
  <si>
    <t>Dībeļi 175mm Siltinājumam S4, S5, S7</t>
  </si>
  <si>
    <t>Dībeļi EJOT H4 Eco vai ekvivalents</t>
  </si>
  <si>
    <t>Dībeļi 115mm Siltinājumam S8, Siltinājums AR-17 "a2"</t>
  </si>
  <si>
    <t>Projektētas teknes gar lodžijām, Ø125mm, stiprinājumi, montāža</t>
  </si>
  <si>
    <t>Projektētas notekas gar lodžijām, Ø80mm, stiprinājumi, montāža</t>
  </si>
  <si>
    <t>Lodžiju jumtiņu remonts, bitumena ruļļmateriāla demontāža, jauna jauna veltņu materiāla seguma uzklāšana, kopējais lodžiju garums 100,0m, b=1,5*m</t>
  </si>
  <si>
    <t>Mezgla "a7" izbūve AR-17 lapā</t>
  </si>
  <si>
    <t>Proj. gāzbetona bloku mūris, b=150mm, h=600mm</t>
  </si>
  <si>
    <t>Stiegras Ø10,L=150 s=400mm</t>
  </si>
  <si>
    <t>Kokskrūves, s=300mm</t>
  </si>
  <si>
    <t>Slīpināta cementa javas virsma</t>
  </si>
  <si>
    <t>Cinkota skārda apmale, b=500*mm</t>
  </si>
  <si>
    <t>Metāla plāksne: - 4x50mm; s=400</t>
  </si>
  <si>
    <t>Brusa a×b=50×50, s=400mm</t>
  </si>
  <si>
    <t>Papildus veltņu materiāla kārta, b=0,9*m</t>
  </si>
  <si>
    <t>Hidroizolācijas lentas montēšana logos  un durvīs</t>
  </si>
  <si>
    <t>S6</t>
  </si>
  <si>
    <t>S9</t>
  </si>
  <si>
    <t>Lodžiju starpsienu siltinājums.  Apmetuma sistēma virs siltinājuma (AS-2) Siltinājums - fasādes akmensvate; λ=0,037 W/mK b=30mm. Līmjava Gruntējums, Esošā dzelzsbetona starpsiena=160mm, gruntējums, līmjava, Siltinājums - fasādes akmensvate; λ=0,037 W/mK b=30mm.</t>
  </si>
  <si>
    <t>Lodžiju starpsienu siltinājums cokola līmenī (virszemes līmenī un ~100mm zem grunts). Apmetuma sistēma virs siltinājuma (AS-2); Putupolistirola plāksne, ekvivalents Tenapors EPS 150 λ=0,034W/M²k, b=30mm; Līmjava; Gruntējums; Esoša dz-betona starpsiena,b=160mm</t>
  </si>
  <si>
    <t>Dībeļi 75mm Siltinājumam S6 un S9, siltinājums starpstāvu pārsegumu galos (BK-7)</t>
  </si>
  <si>
    <t>Hidroizolācija, h=500</t>
  </si>
  <si>
    <t>Āra apgaismojuma elements uz sensoru pie ieejas durvīm</t>
  </si>
  <si>
    <t>2. meh. klases apmetuma izveidošana: 1 kārtas armējošās javas un armējošā stikla šķiedras sieta uzklāšana, zemapmetuma grunts uzklāšana, dekoratīvā gatavā silikona apmetuma ar tonējumu uznešana.</t>
  </si>
  <si>
    <t>Siliktā -silikona homogēnais apmetums, 2mm graudu lielums</t>
  </si>
  <si>
    <t>Mitrumizturīga putupolistirola plāksne, b=50mm</t>
  </si>
  <si>
    <t>Mitrumizturīga putupolistirola plāksne, b=120mm</t>
  </si>
  <si>
    <t>Grunts hidroizolācijai (11kg patēriņš aptuveni 0,5kg/m2) vai ekvivalents</t>
  </si>
  <si>
    <t>hidroizolācija (19kg patēriņš aptuveni 1,0kg/m2)</t>
  </si>
  <si>
    <t>Dībeli 195mm vai ekvivalents</t>
  </si>
  <si>
    <t>Armējošā līmjava</t>
  </si>
  <si>
    <t>Hidroizolācija 3 kārtas</t>
  </si>
  <si>
    <t>Putupolistirols; b=50</t>
  </si>
  <si>
    <t>Vēdināšanas komplekts, montāža ārsienā</t>
  </si>
  <si>
    <t>Ultraskaņas siltuma skaitītājs Dn15 “Ultego III smart" firmas ISTA vai ekvivalents, ūdens caurplūde: Lmax=1,2 m³/st; Lopt=0,6 m³/st; Lmin=6 l/st; ūdens t° diapazons: 5–130°C; Precizitātes klase EN 1434; Spiediens 16 bar; t° sensori DIN IC 751 Pt 500 Ar divvirzienu optisko radio moduli “ISTA Optosonic U 3 radio net”; IP aizsardzības klase IP 54 (EN 60529); 868 MHz Jādarbojas sistēmā “ISTA Symphonic sensor net” un pieslēdzams pie datu pārraides ierīces “ISTA Memonic 3 radio net"</t>
  </si>
  <si>
    <t>Automātiskais balansējošais vārsts Dn25; t=110°C; P=8 bar, uzstādīšana, ieregulēšana</t>
  </si>
  <si>
    <t>Automātiskais balansējošais vārsts,  Dn25; t=110°C; P=8 bar, uzstādīšana, ieregulēšana</t>
  </si>
  <si>
    <t>Termoregulators (vārsts) Dn 15 ar termostatisko sensoru, t=120°C, P=10 bar, DP=0.6 bar</t>
  </si>
  <si>
    <t>Sildķermeņa pievienojuma krāns komplektā ar tukšošanas krānu  t=110°C; P=8 bar; Dn15</t>
  </si>
  <si>
    <t xml:space="preserve">Balansējošais vārsts Dn15 uzstādīšana, ieregulēšana </t>
  </si>
  <si>
    <t>Termoregulators (vārsts) Dn 15 ar termostatisko sensoru, t-120 °C, P- 10 bar, DP- 0.6 bar</t>
  </si>
  <si>
    <t>Sildķermeņa pievienojuma krāns komplektā ar tukšošanas krānu  t=110°C; P=8 bar; Dn15; polipropilēna</t>
  </si>
  <si>
    <t>* Demontējami atbalstsienas posmi, kopējais L=5330*mm, b=0,30m</t>
  </si>
  <si>
    <t>Atbalstienas uzstādīšana (BK-8 lapa) ar sieniņas nosegplātni 4gb ieejas mezgliem</t>
  </si>
  <si>
    <t>* Betons C20/25 atbalstsienai</t>
  </si>
  <si>
    <t>* Smērējama vertikāla hidroizolācija</t>
  </si>
  <si>
    <t>* Vidēji rupjas smilts pildījums</t>
  </si>
  <si>
    <t>* Blietētas šķembas fr.40-70mm</t>
  </si>
  <si>
    <t>* Stiegrojums Ø10 B500B ar s=200</t>
  </si>
  <si>
    <t>* Stiegrojums Ø6 B500B ar s=400; l=2000mm</t>
  </si>
  <si>
    <t xml:space="preserve">*Stiegrojums Ø6 B500B ar s=400; l=240mm </t>
  </si>
  <si>
    <t>* Atbalstsieniņas nosegplātne, l=3,85m vienam ieejas mezglam</t>
  </si>
  <si>
    <t>Atbalstienas uzstādīšana (BK-9 lapa) ar sieniņas nosegplātni 4gb ieejas mezgliem</t>
  </si>
  <si>
    <t>* Atbalstsieniņas nosegplātne, l=3,53m vienam ieejas mezglam</t>
  </si>
  <si>
    <r>
      <t xml:space="preserve">Koka laipu izvietošana (skatīt bēniņu plāna lapā specifikāciju </t>
    </r>
    <r>
      <rPr>
        <sz val="8"/>
        <color rgb="FFFF0000"/>
        <rFont val="Arial"/>
        <family val="2"/>
        <charset val="186"/>
      </rPr>
      <t>BK-2</t>
    </r>
    <r>
      <rPr>
        <sz val="8"/>
        <rFont val="Arial"/>
        <family val="2"/>
        <charset val="186"/>
      </rPr>
      <t>)</t>
    </r>
  </si>
  <si>
    <t xml:space="preserve">PVC loga  bloks ar  stikla paketi krāsa - balta Stikla paketes 2k4+4LowE-Arg.siltuma caurlaidības koef.: Ug=0,9 w/m²×K), Rāmja siltuma caurlaidības koef.: Uf=1,1 W / m² K. Uw=1.0 W/m² K. 2. PVC profilu ekspluatēšanas klimatiskā zona -zona S.3.PVC profila montāžas dziļums ( profila biezums ) ≤ 78*mm PVC profila montāžas dziļums ( profila biezums ) ≤ 78*mm 4.     </t>
  </si>
  <si>
    <r>
      <t>PVC lodžiju panelis un to uzstādīšana</t>
    </r>
    <r>
      <rPr>
        <sz val="8"/>
        <color rgb="FFFF0000"/>
        <rFont val="Arial"/>
        <family val="2"/>
        <charset val="186"/>
      </rPr>
      <t xml:space="preserve"> (b×h=3,2*×1,1m)</t>
    </r>
    <r>
      <rPr>
        <sz val="8"/>
        <rFont val="Arial"/>
        <family val="2"/>
        <charset val="186"/>
      </rPr>
      <t>;  (montāžas shēma BK-7)</t>
    </r>
    <r>
      <rPr>
        <sz val="8"/>
        <color rgb="FFFF0000"/>
        <rFont val="Arial"/>
        <family val="2"/>
        <charset val="186"/>
      </rPr>
      <t xml:space="preserve"> PVC  lodžiju margas pildiņš ar rāmi. Dziļums: 80 mm rāmja konstrukcija Vēja noturības klase- ne zemāka par C3 Gaisa caurlaidības klase - ne zemāka par 3 Ūdensnecaurlaidības kalse -  8A. Krāsu skatīt krāsu pasē, Uw=1,1W/m²×k. Krāsojuma RAL atbilstoši krāsu pases dotajam</t>
    </r>
  </si>
  <si>
    <t>Koka brusas ar prettrupes un petuguns apstrādi 75×125(h)</t>
  </si>
  <si>
    <t>Dēļi ar prettrupes un petuguns apstrādi130×25(h)</t>
  </si>
  <si>
    <t>Gāzbetona bloks Eco Term Plus 300 (200x300x600). (Piezāģēts pēc gabarītiem 200x300x300)</t>
  </si>
  <si>
    <t>Papes loksne</t>
  </si>
  <si>
    <t>Siltumizolācija sienām</t>
  </si>
  <si>
    <t>Dībeli virsmas klasifikācija ETA A,B,C,D,E, galvas Ø60, nagla tērauda Ø8-10, Punkta siltumatdeves koeficients 0,002 W/K, min iestrādes dziļums &gt;25mm, vai ekvivalents 75mm</t>
  </si>
  <si>
    <r>
      <t>m</t>
    </r>
    <r>
      <rPr>
        <vertAlign val="superscript"/>
        <sz val="8"/>
        <rFont val="Arial"/>
        <family val="2"/>
        <charset val="186"/>
      </rPr>
      <t>2</t>
    </r>
  </si>
  <si>
    <t>Sturi</t>
  </si>
  <si>
    <t>Logu un durvju aiļu ārējo stūru armēšana ar sietu papildus sietu 0,5×0,3m platumā no ailes un ailē stiepes izturība &gt;200N/5cm, Struktūras stabilitāte &gt;22%, Atbilst REACH , sieta acojuma lielums 4×4mm.</t>
  </si>
  <si>
    <t>Tāme sastādīta 2021. gada</t>
  </si>
  <si>
    <t>Tāme sastādīta  2021. gada tirgus cenās, pamatojoties uz AR un BK daļas rasējumiem</t>
  </si>
  <si>
    <t xml:space="preserve">Tiešās izmaksas kopā, t. sk. darba devēja sociālais nodoklis 23.59% </t>
  </si>
  <si>
    <t>Tāme sastādīta  2021. gada tirgus cenās, pamatojoties uz AVK daļas rasējumiem</t>
  </si>
  <si>
    <t>Sildķermeņa pievienojuma krāns firmas Danfoss, RLV vai ekvivalents komplektā ar tukšošanas krānu  t=110°C; P=8 bar; Dn15</t>
  </si>
  <si>
    <r>
      <t xml:space="preserve">Termoregulators (vārsts) Dn 15 firmas "Danfoss </t>
    </r>
    <r>
      <rPr>
        <b/>
        <sz val="8"/>
        <color theme="1"/>
        <rFont val="Arial"/>
        <family val="2"/>
      </rPr>
      <t>RA-N-15</t>
    </r>
    <r>
      <rPr>
        <sz val="8"/>
        <color theme="1"/>
        <rFont val="Arial"/>
        <family val="2"/>
        <charset val="186"/>
      </rPr>
      <t xml:space="preserve"> vai ekvivalents ar termostatisko sensoru </t>
    </r>
    <r>
      <rPr>
        <b/>
        <sz val="8"/>
        <color theme="1"/>
        <rFont val="Arial"/>
        <family val="2"/>
      </rPr>
      <t>RAS-C-5023</t>
    </r>
    <r>
      <rPr>
        <sz val="8"/>
        <color theme="1"/>
        <rFont val="Arial"/>
        <family val="2"/>
        <charset val="186"/>
      </rPr>
      <t xml:space="preserve"> vai ekvivalents, t-120 °C, P- 10 bar, DP- 0.6 bar</t>
    </r>
  </si>
  <si>
    <r>
      <t xml:space="preserve">Vara caurule apkurei, </t>
    </r>
    <r>
      <rPr>
        <b/>
        <sz val="8"/>
        <color theme="1"/>
        <rFont val="Calibri"/>
        <family val="2"/>
      </rPr>
      <t>Ø</t>
    </r>
    <r>
      <rPr>
        <b/>
        <sz val="8"/>
        <color theme="1"/>
        <rFont val="Arial"/>
        <family val="2"/>
      </rPr>
      <t>18x0,7mm</t>
    </r>
    <r>
      <rPr>
        <sz val="8"/>
        <color theme="1"/>
        <rFont val="Arial"/>
        <family val="2"/>
        <charset val="186"/>
      </rPr>
      <t>, montāža, stiprināšana pie sienas vai grīdlīstē</t>
    </r>
  </si>
  <si>
    <r>
      <t xml:space="preserve">Vara caurule apkurei, </t>
    </r>
    <r>
      <rPr>
        <b/>
        <sz val="8"/>
        <color theme="1"/>
        <rFont val="Arial"/>
        <family val="2"/>
      </rPr>
      <t>Ø18x0,7mm</t>
    </r>
    <r>
      <rPr>
        <sz val="8"/>
        <color theme="1"/>
        <rFont val="Arial"/>
        <family val="2"/>
        <charset val="186"/>
      </rPr>
      <t>, montāža, stiprināšana pie sienas vai grīdlīstē</t>
    </r>
  </si>
  <si>
    <t>Vara caurules pagrieziens 90°, Dn15, montāža</t>
  </si>
  <si>
    <t>Vara caurules trejgabals Dn15 montāža</t>
  </si>
  <si>
    <t>Polipropilēna caurules, DN15 pagrieziens 90°, montāža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</si>
</sst>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;;"/>
    <numFmt numFmtId="165" formatCode="0;;"/>
    <numFmt numFmtId="166" formatCode="0.0%"/>
    <numFmt numFmtId="167" formatCode="_-* #,##0.00_-;\-* #,##0.00_-;_-* \-??_-;_-@_-"/>
    <numFmt numFmtId="168" formatCode="0.000;;"/>
    <numFmt numFmtId="169" formatCode="0.0"/>
  </numFmts>
  <fonts count="33" x14ac:knownFonts="1">
    <font>
      <sz val="11"/>
      <color theme="1"/>
      <name val="Calibri"/>
      <family val="2"/>
      <charset val="186"/>
      <scheme val="minor"/>
    </font>
    <font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b/>
      <sz val="9"/>
      <name val="Arial"/>
      <family val="2"/>
    </font>
    <font>
      <sz val="9"/>
      <name val="Arial"/>
      <family val="2"/>
    </font>
    <font>
      <sz val="8"/>
      <color rgb="FFFF0000"/>
      <name val="Arial"/>
      <family val="2"/>
      <charset val="186"/>
    </font>
    <font>
      <sz val="11"/>
      <color indexed="8"/>
      <name val="Calibri"/>
      <family val="2"/>
      <charset val="204"/>
    </font>
    <font>
      <sz val="8"/>
      <color theme="1"/>
      <name val="Arial"/>
      <family val="2"/>
      <charset val="186"/>
    </font>
    <font>
      <vertAlign val="superscript"/>
      <sz val="8"/>
      <name val="Arial"/>
      <family val="2"/>
      <charset val="186"/>
    </font>
    <font>
      <b/>
      <i/>
      <sz val="8"/>
      <name val="Arial"/>
      <family val="2"/>
      <charset val="186"/>
    </font>
    <font>
      <sz val="10"/>
      <name val="Arial"/>
      <family val="2"/>
      <charset val="1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indexed="17"/>
      <name val="Arial"/>
      <family val="2"/>
      <charset val="186"/>
    </font>
    <font>
      <sz val="8"/>
      <color indexed="10"/>
      <name val="Arial"/>
      <family val="2"/>
      <charset val="186"/>
    </font>
    <font>
      <b/>
      <sz val="8"/>
      <color indexed="17"/>
      <name val="Arial"/>
      <family val="2"/>
      <charset val="186"/>
    </font>
    <font>
      <sz val="8"/>
      <color rgb="FF009900"/>
      <name val="Arial"/>
      <family val="2"/>
      <charset val="186"/>
    </font>
    <font>
      <b/>
      <sz val="8"/>
      <color rgb="FF009900"/>
      <name val="Arial"/>
      <family val="2"/>
      <charset val="186"/>
    </font>
    <font>
      <b/>
      <sz val="8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sz val="8"/>
      <color theme="9" tint="-0.249977111117893"/>
      <name val="Arial"/>
      <family val="2"/>
      <charset val="186"/>
    </font>
    <font>
      <b/>
      <sz val="8"/>
      <color theme="9" tint="-0.249977111117893"/>
      <name val="Arial"/>
      <family val="2"/>
      <charset val="186"/>
    </font>
    <font>
      <sz val="9"/>
      <name val="Arial"/>
      <family val="2"/>
      <charset val="186"/>
    </font>
    <font>
      <sz val="8"/>
      <color rgb="FFFF0000"/>
      <name val="Arial"/>
      <family val="2"/>
    </font>
    <font>
      <i/>
      <sz val="11"/>
      <color indexed="23"/>
      <name val="Calibri"/>
      <family val="2"/>
      <charset val="186"/>
    </font>
    <font>
      <b/>
      <sz val="8"/>
      <color theme="1"/>
      <name val="Arial"/>
      <family val="2"/>
    </font>
    <font>
      <b/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5" fillId="0" borderId="0"/>
    <xf numFmtId="0" fontId="5" fillId="0" borderId="0"/>
    <xf numFmtId="0" fontId="6" fillId="0" borderId="0"/>
    <xf numFmtId="43" fontId="8" fillId="0" borderId="0" applyFont="0" applyFill="0" applyBorder="0" applyAlignment="0" applyProtection="0"/>
    <xf numFmtId="0" fontId="5" fillId="0" borderId="0"/>
    <xf numFmtId="0" fontId="12" fillId="0" borderId="0"/>
    <xf numFmtId="0" fontId="16" fillId="0" borderId="0"/>
    <xf numFmtId="0" fontId="5" fillId="0" borderId="0">
      <alignment textRotation="90"/>
    </xf>
    <xf numFmtId="0" fontId="16" fillId="0" borderId="0"/>
    <xf numFmtId="0" fontId="30" fillId="0" borderId="0" applyNumberFormat="0" applyFill="0" applyBorder="0" applyAlignment="0" applyProtection="0"/>
  </cellStyleXfs>
  <cellXfs count="44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6" xfId="0" applyFont="1" applyBorder="1"/>
    <xf numFmtId="4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10" xfId="0" applyFont="1" applyBorder="1"/>
    <xf numFmtId="0" fontId="4" fillId="0" borderId="11" xfId="0" applyFont="1" applyBorder="1" applyAlignment="1">
      <alignment horizontal="right"/>
    </xf>
    <xf numFmtId="2" fontId="4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justify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2" fontId="3" fillId="0" borderId="0" xfId="0" applyNumberFormat="1" applyFont="1"/>
    <xf numFmtId="0" fontId="4" fillId="0" borderId="31" xfId="0" applyFont="1" applyBorder="1" applyAlignment="1">
      <alignment horizontal="center"/>
    </xf>
    <xf numFmtId="0" fontId="3" fillId="0" borderId="0" xfId="0" applyFont="1" applyAlignment="1">
      <alignment vertical="center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left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33" xfId="0" applyFont="1" applyBorder="1" applyAlignment="1">
      <alignment horizontal="center" vertical="center" textRotation="90" wrapText="1"/>
    </xf>
    <xf numFmtId="165" fontId="3" fillId="0" borderId="5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wrapText="1"/>
    </xf>
    <xf numFmtId="164" fontId="4" fillId="0" borderId="10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0" xfId="0" applyNumberFormat="1" applyFont="1"/>
    <xf numFmtId="164" fontId="3" fillId="0" borderId="36" xfId="0" applyNumberFormat="1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vertical="top" wrapText="1"/>
    </xf>
    <xf numFmtId="164" fontId="3" fillId="0" borderId="29" xfId="2" applyNumberFormat="1" applyFont="1" applyBorder="1" applyAlignment="1">
      <alignment horizontal="center" vertical="center"/>
    </xf>
    <xf numFmtId="164" fontId="4" fillId="0" borderId="30" xfId="2" applyNumberFormat="1" applyFont="1" applyBorder="1" applyAlignment="1">
      <alignment horizontal="center" vertical="center"/>
    </xf>
    <xf numFmtId="164" fontId="3" fillId="0" borderId="5" xfId="2" applyNumberFormat="1" applyFont="1" applyBorder="1" applyAlignment="1">
      <alignment horizontal="center" vertical="center"/>
    </xf>
    <xf numFmtId="9" fontId="3" fillId="0" borderId="0" xfId="0" applyNumberFormat="1" applyFont="1"/>
    <xf numFmtId="165" fontId="3" fillId="0" borderId="0" xfId="0" applyNumberFormat="1" applyFont="1" applyAlignment="1">
      <alignment vertical="center"/>
    </xf>
    <xf numFmtId="0" fontId="3" fillId="0" borderId="42" xfId="0" applyFont="1" applyBorder="1"/>
    <xf numFmtId="2" fontId="3" fillId="0" borderId="3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 wrapText="1"/>
    </xf>
    <xf numFmtId="164" fontId="3" fillId="0" borderId="16" xfId="0" quotePrefix="1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 vertical="center" textRotation="90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vertical="top" wrapText="1"/>
    </xf>
    <xf numFmtId="164" fontId="3" fillId="0" borderId="45" xfId="2" applyNumberFormat="1" applyFont="1" applyBorder="1" applyAlignment="1">
      <alignment horizontal="center" vertical="center"/>
    </xf>
    <xf numFmtId="164" fontId="4" fillId="0" borderId="46" xfId="2" applyNumberFormat="1" applyFont="1" applyBorder="1" applyAlignment="1">
      <alignment horizontal="center" vertical="center"/>
    </xf>
    <xf numFmtId="164" fontId="3" fillId="0" borderId="46" xfId="0" applyNumberFormat="1" applyFont="1" applyBorder="1" applyAlignment="1">
      <alignment horizontal="center" vertical="center" wrapText="1"/>
    </xf>
    <xf numFmtId="164" fontId="3" fillId="0" borderId="44" xfId="2" applyNumberFormat="1" applyFont="1" applyBorder="1" applyAlignment="1">
      <alignment horizontal="center" vertical="center"/>
    </xf>
    <xf numFmtId="164" fontId="4" fillId="0" borderId="10" xfId="3" applyNumberFormat="1" applyFont="1" applyBorder="1" applyAlignment="1">
      <alignment horizontal="center" vertical="center"/>
    </xf>
    <xf numFmtId="164" fontId="4" fillId="0" borderId="13" xfId="3" applyNumberFormat="1" applyFont="1" applyBorder="1" applyAlignment="1">
      <alignment horizontal="center" vertical="center"/>
    </xf>
    <xf numFmtId="164" fontId="4" fillId="0" borderId="14" xfId="3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39" xfId="0" applyFont="1" applyBorder="1" applyAlignment="1">
      <alignment wrapText="1"/>
    </xf>
    <xf numFmtId="164" fontId="3" fillId="0" borderId="0" xfId="0" applyNumberFormat="1" applyFont="1" applyAlignment="1">
      <alignment horizontal="center" vertical="justify"/>
    </xf>
    <xf numFmtId="1" fontId="3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/>
    </xf>
    <xf numFmtId="0" fontId="7" fillId="0" borderId="6" xfId="1" applyFont="1" applyBorder="1" applyAlignment="1">
      <alignment wrapText="1"/>
    </xf>
    <xf numFmtId="1" fontId="3" fillId="0" borderId="5" xfId="0" applyNumberFormat="1" applyFont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9" fontId="3" fillId="0" borderId="40" xfId="0" applyNumberFormat="1" applyFont="1" applyBorder="1" applyAlignment="1"/>
    <xf numFmtId="9" fontId="3" fillId="0" borderId="0" xfId="0" applyNumberFormat="1" applyFont="1" applyAlignment="1"/>
    <xf numFmtId="9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165" fontId="3" fillId="0" borderId="1" xfId="0" applyNumberFormat="1" applyFont="1" applyBorder="1" applyAlignment="1"/>
    <xf numFmtId="1" fontId="3" fillId="0" borderId="0" xfId="0" applyNumberFormat="1" applyFont="1" applyAlignment="1"/>
    <xf numFmtId="0" fontId="4" fillId="0" borderId="32" xfId="0" applyFont="1" applyBorder="1" applyAlignment="1">
      <alignment horizontal="right"/>
    </xf>
    <xf numFmtId="0" fontId="3" fillId="0" borderId="6" xfId="0" applyFont="1" applyBorder="1" applyAlignment="1">
      <alignment wrapText="1"/>
    </xf>
    <xf numFmtId="0" fontId="4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vertical="center"/>
    </xf>
    <xf numFmtId="2" fontId="10" fillId="0" borderId="0" xfId="5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167" fontId="10" fillId="0" borderId="0" xfId="4" applyNumberFormat="1" applyFont="1" applyAlignment="1">
      <alignment horizontal="center" vertical="center"/>
    </xf>
    <xf numFmtId="167" fontId="10" fillId="0" borderId="0" xfId="4" applyNumberFormat="1" applyFont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 wrapText="1"/>
    </xf>
    <xf numFmtId="0" fontId="13" fillId="0" borderId="29" xfId="0" applyFont="1" applyBorder="1"/>
    <xf numFmtId="0" fontId="13" fillId="0" borderId="29" xfId="0" applyFont="1" applyBorder="1" applyAlignment="1">
      <alignment vertical="center" wrapText="1"/>
    </xf>
    <xf numFmtId="0" fontId="13" fillId="2" borderId="29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/>
    </xf>
    <xf numFmtId="0" fontId="3" fillId="0" borderId="48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4" fillId="0" borderId="48" xfId="0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/>
    </xf>
    <xf numFmtId="164" fontId="3" fillId="0" borderId="29" xfId="0" applyNumberFormat="1" applyFont="1" applyFill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7" fillId="0" borderId="29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7" fillId="0" borderId="29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7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vertical="center"/>
    </xf>
    <xf numFmtId="1" fontId="17" fillId="0" borderId="33" xfId="0" applyNumberFormat="1" applyFont="1" applyBorder="1" applyAlignment="1">
      <alignment horizontal="center" vertical="center"/>
    </xf>
    <xf numFmtId="1" fontId="24" fillId="0" borderId="33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" fontId="17" fillId="0" borderId="0" xfId="0" applyNumberFormat="1" applyFont="1"/>
    <xf numFmtId="0" fontId="17" fillId="0" borderId="29" xfId="0" applyFont="1" applyFill="1" applyBorder="1" applyAlignment="1">
      <alignment horizontal="right" vertical="center"/>
    </xf>
    <xf numFmtId="0" fontId="17" fillId="0" borderId="29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right" vertical="center"/>
    </xf>
    <xf numFmtId="0" fontId="19" fillId="0" borderId="56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2" fontId="19" fillId="0" borderId="56" xfId="0" applyNumberFormat="1" applyFont="1" applyFill="1" applyBorder="1" applyAlignment="1">
      <alignment horizontal="center" vertical="center"/>
    </xf>
    <xf numFmtId="2" fontId="21" fillId="0" borderId="56" xfId="0" applyNumberFormat="1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right" vertical="center"/>
    </xf>
    <xf numFmtId="0" fontId="19" fillId="0" borderId="52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2" fontId="19" fillId="0" borderId="52" xfId="0" applyNumberFormat="1" applyFont="1" applyFill="1" applyBorder="1" applyAlignment="1">
      <alignment horizontal="center" vertical="center"/>
    </xf>
    <xf numFmtId="2" fontId="21" fillId="0" borderId="52" xfId="0" applyNumberFormat="1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 wrapText="1"/>
    </xf>
    <xf numFmtId="2" fontId="26" fillId="0" borderId="52" xfId="0" applyNumberFormat="1" applyFont="1" applyFill="1" applyBorder="1" applyAlignment="1">
      <alignment horizontal="center" vertical="center"/>
    </xf>
    <xf numFmtId="2" fontId="27" fillId="0" borderId="52" xfId="0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2" fontId="22" fillId="0" borderId="29" xfId="0" applyNumberFormat="1" applyFont="1" applyFill="1" applyBorder="1" applyAlignment="1">
      <alignment horizontal="center" vertical="center"/>
    </xf>
    <xf numFmtId="2" fontId="23" fillId="0" borderId="2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33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65" fontId="3" fillId="0" borderId="0" xfId="0" applyNumberFormat="1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vertical="center" wrapText="1"/>
    </xf>
    <xf numFmtId="2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/>
    <xf numFmtId="9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>
      <alignment horizontal="left"/>
    </xf>
    <xf numFmtId="0" fontId="3" fillId="0" borderId="32" xfId="0" applyFont="1" applyFill="1" applyBorder="1" applyAlignment="1">
      <alignment horizontal="center" vertical="center" textRotation="90" wrapText="1"/>
    </xf>
    <xf numFmtId="0" fontId="3" fillId="0" borderId="33" xfId="0" applyFont="1" applyFill="1" applyBorder="1" applyAlignment="1">
      <alignment horizontal="center" vertical="center" textRotation="90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164" fontId="3" fillId="0" borderId="45" xfId="0" applyNumberFormat="1" applyFont="1" applyFill="1" applyBorder="1" applyAlignment="1">
      <alignment vertical="top" wrapText="1"/>
    </xf>
    <xf numFmtId="164" fontId="3" fillId="0" borderId="46" xfId="0" applyNumberFormat="1" applyFont="1" applyFill="1" applyBorder="1" applyAlignment="1">
      <alignment horizontal="center" vertical="center" wrapText="1"/>
    </xf>
    <xf numFmtId="164" fontId="3" fillId="0" borderId="44" xfId="2" applyNumberFormat="1" applyFont="1" applyFill="1" applyBorder="1" applyAlignment="1">
      <alignment horizontal="center" vertical="center"/>
    </xf>
    <xf numFmtId="164" fontId="3" fillId="0" borderId="45" xfId="2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wrapText="1"/>
    </xf>
    <xf numFmtId="164" fontId="3" fillId="0" borderId="29" xfId="0" applyNumberFormat="1" applyFont="1" applyFill="1" applyBorder="1" applyAlignment="1">
      <alignment vertical="top" wrapText="1"/>
    </xf>
    <xf numFmtId="164" fontId="3" fillId="0" borderId="29" xfId="2" applyNumberFormat="1" applyFont="1" applyFill="1" applyBorder="1" applyAlignment="1">
      <alignment horizontal="center" vertical="center"/>
    </xf>
    <xf numFmtId="164" fontId="3" fillId="0" borderId="5" xfId="2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2" fontId="3" fillId="0" borderId="29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9" fontId="3" fillId="0" borderId="40" xfId="0" applyNumberFormat="1" applyFont="1" applyFill="1" applyBorder="1" applyAlignment="1"/>
    <xf numFmtId="9" fontId="3" fillId="0" borderId="0" xfId="0" applyNumberFormat="1" applyFont="1" applyFill="1" applyAlignment="1"/>
    <xf numFmtId="165" fontId="3" fillId="0" borderId="1" xfId="0" applyNumberFormat="1" applyFont="1" applyFill="1" applyBorder="1" applyAlignment="1"/>
    <xf numFmtId="9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3" fillId="0" borderId="34" xfId="0" applyFont="1" applyFill="1" applyBorder="1" applyAlignment="1">
      <alignment horizontal="center" vertical="center" textRotation="90" wrapText="1"/>
    </xf>
    <xf numFmtId="164" fontId="3" fillId="0" borderId="45" xfId="0" applyNumberFormat="1" applyFont="1" applyFill="1" applyBorder="1" applyAlignment="1">
      <alignment horizontal="center" vertical="center" wrapText="1"/>
    </xf>
    <xf numFmtId="164" fontId="3" fillId="0" borderId="46" xfId="2" applyNumberFormat="1" applyFont="1" applyFill="1" applyBorder="1" applyAlignment="1">
      <alignment horizontal="center" vertical="center"/>
    </xf>
    <xf numFmtId="164" fontId="3" fillId="0" borderId="51" xfId="2" applyNumberFormat="1" applyFont="1" applyFill="1" applyBorder="1" applyAlignment="1">
      <alignment horizontal="center" vertical="center"/>
    </xf>
    <xf numFmtId="164" fontId="3" fillId="0" borderId="30" xfId="2" applyNumberFormat="1" applyFont="1" applyFill="1" applyBorder="1" applyAlignment="1">
      <alignment horizontal="center" vertical="center"/>
    </xf>
    <xf numFmtId="164" fontId="3" fillId="0" borderId="6" xfId="2" applyNumberFormat="1" applyFont="1" applyFill="1" applyBorder="1" applyAlignment="1">
      <alignment horizontal="center" vertical="center"/>
    </xf>
    <xf numFmtId="164" fontId="3" fillId="0" borderId="10" xfId="3" applyNumberFormat="1" applyFont="1" applyFill="1" applyBorder="1" applyAlignment="1">
      <alignment horizontal="center" vertical="center"/>
    </xf>
    <xf numFmtId="164" fontId="3" fillId="0" borderId="13" xfId="3" applyNumberFormat="1" applyFont="1" applyFill="1" applyBorder="1" applyAlignment="1">
      <alignment horizontal="center" vertical="center"/>
    </xf>
    <xf numFmtId="164" fontId="3" fillId="0" borderId="14" xfId="3" applyNumberFormat="1" applyFont="1" applyFill="1" applyBorder="1" applyAlignment="1">
      <alignment horizontal="center" vertical="center"/>
    </xf>
    <xf numFmtId="0" fontId="28" fillId="0" borderId="0" xfId="0" applyFont="1" applyFill="1"/>
    <xf numFmtId="0" fontId="28" fillId="0" borderId="0" xfId="0" applyFont="1" applyFill="1" applyAlignment="1">
      <alignment wrapText="1"/>
    </xf>
    <xf numFmtId="0" fontId="28" fillId="0" borderId="0" xfId="0" applyFont="1" applyFill="1" applyAlignment="1">
      <alignment vertical="center"/>
    </xf>
    <xf numFmtId="2" fontId="28" fillId="0" borderId="0" xfId="5" applyNumberFormat="1" applyFont="1" applyFill="1" applyAlignment="1">
      <alignment horizontal="center" vertical="center" wrapText="1"/>
    </xf>
    <xf numFmtId="2" fontId="28" fillId="0" borderId="0" xfId="0" applyNumberFormat="1" applyFont="1" applyFill="1" applyAlignment="1">
      <alignment horizontal="center" vertical="center" wrapText="1"/>
    </xf>
    <xf numFmtId="167" fontId="28" fillId="0" borderId="0" xfId="4" applyNumberFormat="1" applyFont="1" applyFill="1" applyAlignment="1">
      <alignment horizontal="center" vertical="center"/>
    </xf>
    <xf numFmtId="167" fontId="28" fillId="0" borderId="0" xfId="4" applyNumberFormat="1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right"/>
    </xf>
    <xf numFmtId="164" fontId="3" fillId="0" borderId="27" xfId="0" applyNumberFormat="1" applyFont="1" applyFill="1" applyBorder="1" applyAlignment="1">
      <alignment horizontal="center" vertical="center" wrapText="1"/>
    </xf>
    <xf numFmtId="164" fontId="3" fillId="0" borderId="27" xfId="2" applyNumberFormat="1" applyFont="1" applyFill="1" applyBorder="1" applyAlignment="1">
      <alignment horizontal="center" vertical="center"/>
    </xf>
    <xf numFmtId="164" fontId="3" fillId="0" borderId="47" xfId="2" applyNumberFormat="1" applyFont="1" applyFill="1" applyBorder="1" applyAlignment="1">
      <alignment horizontal="center" vertical="center"/>
    </xf>
    <xf numFmtId="164" fontId="3" fillId="0" borderId="23" xfId="2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vertical="top" wrapText="1"/>
    </xf>
    <xf numFmtId="49" fontId="3" fillId="0" borderId="52" xfId="5" applyNumberFormat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53" xfId="7" applyFont="1" applyFill="1" applyBorder="1" applyAlignment="1">
      <alignment horizontal="center" vertical="center" wrapText="1"/>
    </xf>
    <xf numFmtId="169" fontId="3" fillId="0" borderId="29" xfId="0" applyNumberFormat="1" applyFont="1" applyFill="1" applyBorder="1" applyAlignment="1">
      <alignment horizontal="center" vertical="center" wrapText="1"/>
    </xf>
    <xf numFmtId="0" fontId="3" fillId="0" borderId="54" xfId="7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164" fontId="3" fillId="0" borderId="48" xfId="2" applyNumberFormat="1" applyFont="1" applyFill="1" applyBorder="1" applyAlignment="1">
      <alignment horizontal="center" vertical="center"/>
    </xf>
    <xf numFmtId="164" fontId="3" fillId="0" borderId="49" xfId="3" applyNumberFormat="1" applyFont="1" applyFill="1" applyBorder="1" applyAlignment="1">
      <alignment horizontal="center" vertical="center"/>
    </xf>
    <xf numFmtId="164" fontId="3" fillId="0" borderId="50" xfId="3" applyNumberFormat="1" applyFont="1" applyFill="1" applyBorder="1" applyAlignment="1">
      <alignment horizontal="center" vertical="center"/>
    </xf>
    <xf numFmtId="164" fontId="3" fillId="0" borderId="55" xfId="3" applyNumberFormat="1" applyFont="1" applyFill="1" applyBorder="1" applyAlignment="1">
      <alignment horizontal="center" vertical="center"/>
    </xf>
    <xf numFmtId="164" fontId="3" fillId="0" borderId="58" xfId="3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vertical="top" wrapText="1"/>
    </xf>
    <xf numFmtId="164" fontId="3" fillId="0" borderId="21" xfId="0" applyNumberFormat="1" applyFont="1" applyFill="1" applyBorder="1" applyAlignment="1">
      <alignment horizontal="center" vertical="center" wrapText="1"/>
    </xf>
    <xf numFmtId="164" fontId="3" fillId="0" borderId="2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/>
    </xf>
    <xf numFmtId="164" fontId="3" fillId="0" borderId="21" xfId="2" applyNumberFormat="1" applyFont="1" applyFill="1" applyBorder="1" applyAlignment="1">
      <alignment horizontal="center" vertical="center"/>
    </xf>
    <xf numFmtId="164" fontId="3" fillId="0" borderId="22" xfId="2" applyNumberFormat="1" applyFont="1" applyFill="1" applyBorder="1" applyAlignment="1">
      <alignment horizontal="center" vertical="center"/>
    </xf>
    <xf numFmtId="164" fontId="3" fillId="0" borderId="46" xfId="2" applyNumberFormat="1" applyFont="1" applyBorder="1" applyAlignment="1">
      <alignment horizontal="center" vertical="center"/>
    </xf>
    <xf numFmtId="164" fontId="3" fillId="0" borderId="51" xfId="2" applyNumberFormat="1" applyFont="1" applyBorder="1" applyAlignment="1">
      <alignment horizontal="center" vertical="center"/>
    </xf>
    <xf numFmtId="164" fontId="3" fillId="0" borderId="30" xfId="2" applyNumberFormat="1" applyFont="1" applyBorder="1" applyAlignment="1">
      <alignment horizontal="center" vertical="center"/>
    </xf>
    <xf numFmtId="164" fontId="3" fillId="0" borderId="6" xfId="2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vertical="top" wrapText="1"/>
    </xf>
    <xf numFmtId="164" fontId="3" fillId="0" borderId="49" xfId="3" applyNumberFormat="1" applyFont="1" applyBorder="1" applyAlignment="1">
      <alignment horizontal="center" vertical="center"/>
    </xf>
    <xf numFmtId="164" fontId="3" fillId="0" borderId="50" xfId="3" applyNumberFormat="1" applyFont="1" applyBorder="1" applyAlignment="1">
      <alignment horizontal="center" vertical="center"/>
    </xf>
    <xf numFmtId="164" fontId="3" fillId="0" borderId="55" xfId="3" applyNumberFormat="1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wrapText="1"/>
    </xf>
    <xf numFmtId="0" fontId="28" fillId="0" borderId="0" xfId="0" applyFont="1" applyAlignment="1">
      <alignment vertical="center"/>
    </xf>
    <xf numFmtId="2" fontId="28" fillId="0" borderId="0" xfId="5" applyNumberFormat="1" applyFont="1" applyAlignment="1">
      <alignment horizontal="center" vertical="center" wrapText="1"/>
    </xf>
    <xf numFmtId="2" fontId="28" fillId="0" borderId="0" xfId="0" applyNumberFormat="1" applyFont="1" applyAlignment="1">
      <alignment horizontal="center" vertical="center" wrapText="1"/>
    </xf>
    <xf numFmtId="167" fontId="28" fillId="0" borderId="0" xfId="4" applyNumberFormat="1" applyFont="1" applyAlignment="1">
      <alignment horizontal="center" vertical="center"/>
    </xf>
    <xf numFmtId="167" fontId="28" fillId="0" borderId="0" xfId="4" applyNumberFormat="1" applyFont="1" applyAlignment="1">
      <alignment horizontal="center" vertical="center" wrapText="1"/>
    </xf>
    <xf numFmtId="164" fontId="3" fillId="0" borderId="10" xfId="3" applyNumberFormat="1" applyFont="1" applyBorder="1" applyAlignment="1">
      <alignment horizontal="center" vertical="center"/>
    </xf>
    <xf numFmtId="164" fontId="3" fillId="0" borderId="13" xfId="3" applyNumberFormat="1" applyFont="1" applyBorder="1" applyAlignment="1">
      <alignment horizontal="center" vertical="center"/>
    </xf>
    <xf numFmtId="164" fontId="3" fillId="0" borderId="14" xfId="3" applyNumberFormat="1" applyFont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68" fontId="3" fillId="0" borderId="46" xfId="0" applyNumberFormat="1" applyFont="1" applyFill="1" applyBorder="1" applyAlignment="1">
      <alignment horizontal="center" vertical="center" wrapText="1"/>
    </xf>
    <xf numFmtId="164" fontId="3" fillId="0" borderId="57" xfId="3" applyNumberFormat="1" applyFont="1" applyFill="1" applyBorder="1" applyAlignment="1">
      <alignment horizontal="center" vertical="center"/>
    </xf>
    <xf numFmtId="2" fontId="3" fillId="0" borderId="0" xfId="5" applyNumberFormat="1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167" fontId="3" fillId="0" borderId="0" xfId="4" applyNumberFormat="1" applyFont="1" applyFill="1" applyAlignment="1">
      <alignment horizontal="center" vertical="center"/>
    </xf>
    <xf numFmtId="167" fontId="3" fillId="0" borderId="0" xfId="4" applyNumberFormat="1" applyFont="1" applyFill="1" applyAlignment="1">
      <alignment horizontal="center" vertical="center" wrapText="1"/>
    </xf>
    <xf numFmtId="164" fontId="3" fillId="0" borderId="2" xfId="2" applyNumberFormat="1" applyFont="1" applyBorder="1" applyAlignment="1">
      <alignment horizontal="center" vertical="center"/>
    </xf>
    <xf numFmtId="164" fontId="3" fillId="0" borderId="21" xfId="2" applyNumberFormat="1" applyFont="1" applyBorder="1" applyAlignment="1">
      <alignment horizontal="center" vertical="center"/>
    </xf>
    <xf numFmtId="164" fontId="3" fillId="0" borderId="22" xfId="2" applyNumberFormat="1" applyFont="1" applyBorder="1" applyAlignment="1">
      <alignment horizontal="center" vertical="center"/>
    </xf>
    <xf numFmtId="164" fontId="3" fillId="0" borderId="32" xfId="2" applyNumberFormat="1" applyFont="1" applyFill="1" applyBorder="1" applyAlignment="1">
      <alignment horizontal="center" vertical="center"/>
    </xf>
    <xf numFmtId="164" fontId="3" fillId="0" borderId="33" xfId="2" applyNumberFormat="1" applyFont="1" applyFill="1" applyBorder="1" applyAlignment="1">
      <alignment horizontal="center" vertical="center"/>
    </xf>
    <xf numFmtId="164" fontId="3" fillId="0" borderId="34" xfId="2" applyNumberFormat="1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4" fillId="0" borderId="60" xfId="0" applyFont="1" applyBorder="1" applyAlignment="1">
      <alignment horizontal="center" vertical="center" textRotation="90" wrapText="1"/>
    </xf>
    <xf numFmtId="164" fontId="3" fillId="0" borderId="32" xfId="2" applyNumberFormat="1" applyFont="1" applyBorder="1" applyAlignment="1">
      <alignment horizontal="center" vertical="center"/>
    </xf>
    <xf numFmtId="164" fontId="3" fillId="0" borderId="33" xfId="2" applyNumberFormat="1" applyFont="1" applyBorder="1" applyAlignment="1">
      <alignment horizontal="center" vertical="center"/>
    </xf>
    <xf numFmtId="164" fontId="4" fillId="0" borderId="34" xfId="2" applyNumberFormat="1" applyFont="1" applyBorder="1" applyAlignment="1">
      <alignment horizontal="center" vertical="center"/>
    </xf>
    <xf numFmtId="164" fontId="3" fillId="0" borderId="34" xfId="2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9" fillId="0" borderId="29" xfId="0" applyFont="1" applyBorder="1" applyAlignment="1">
      <alignment wrapText="1"/>
    </xf>
    <xf numFmtId="164" fontId="29" fillId="0" borderId="29" xfId="0" applyNumberFormat="1" applyFont="1" applyBorder="1" applyAlignment="1">
      <alignment vertical="top" wrapText="1"/>
    </xf>
    <xf numFmtId="0" fontId="29" fillId="0" borderId="29" xfId="8" applyFont="1" applyBorder="1" applyAlignment="1">
      <alignment horizontal="center" vertical="center"/>
    </xf>
    <xf numFmtId="2" fontId="29" fillId="0" borderId="29" xfId="8" applyNumberFormat="1" applyFont="1" applyBorder="1" applyAlignment="1">
      <alignment horizontal="center" vertical="center"/>
    </xf>
    <xf numFmtId="0" fontId="29" fillId="0" borderId="29" xfId="8" applyFont="1" applyBorder="1" applyAlignment="1">
      <alignment horizontal="left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right" vertical="center" wrapText="1"/>
    </xf>
    <xf numFmtId="0" fontId="11" fillId="3" borderId="29" xfId="0" applyFont="1" applyFill="1" applyBorder="1" applyAlignment="1">
      <alignment horizontal="right" vertical="center"/>
    </xf>
    <xf numFmtId="164" fontId="11" fillId="0" borderId="29" xfId="0" applyNumberFormat="1" applyFont="1" applyFill="1" applyBorder="1" applyAlignment="1">
      <alignment horizontal="center" vertical="center" wrapText="1"/>
    </xf>
    <xf numFmtId="164" fontId="11" fillId="0" borderId="46" xfId="0" applyNumberFormat="1" applyFont="1" applyFill="1" applyBorder="1" applyAlignment="1">
      <alignment horizontal="center" vertical="center" wrapText="1"/>
    </xf>
    <xf numFmtId="2" fontId="24" fillId="3" borderId="29" xfId="0" applyNumberFormat="1" applyFont="1" applyFill="1" applyBorder="1" applyAlignment="1">
      <alignment horizontal="center" vertical="center" wrapText="1"/>
    </xf>
    <xf numFmtId="169" fontId="11" fillId="0" borderId="29" xfId="0" applyNumberFormat="1" applyFont="1" applyBorder="1" applyAlignment="1">
      <alignment horizontal="center" vertical="center"/>
    </xf>
    <xf numFmtId="164" fontId="11" fillId="4" borderId="46" xfId="0" applyNumberFormat="1" applyFont="1" applyFill="1" applyBorder="1" applyAlignment="1">
      <alignment horizontal="center" vertical="center" wrapText="1"/>
    </xf>
    <xf numFmtId="2" fontId="11" fillId="4" borderId="29" xfId="0" applyNumberFormat="1" applyFont="1" applyFill="1" applyBorder="1" applyAlignment="1">
      <alignment horizontal="center" vertical="center" wrapText="1"/>
    </xf>
    <xf numFmtId="164" fontId="3" fillId="5" borderId="29" xfId="2" applyNumberFormat="1" applyFont="1" applyFill="1" applyBorder="1" applyAlignment="1">
      <alignment horizontal="center" vertical="center"/>
    </xf>
    <xf numFmtId="0" fontId="3" fillId="0" borderId="52" xfId="10" applyFont="1" applyFill="1" applyBorder="1" applyAlignment="1">
      <alignment horizontal="left" vertical="center" wrapText="1"/>
    </xf>
    <xf numFmtId="0" fontId="3" fillId="0" borderId="52" xfId="9" applyFont="1" applyBorder="1" applyAlignment="1">
      <alignment horizontal="center" vertical="center" wrapText="1"/>
    </xf>
    <xf numFmtId="0" fontId="3" fillId="0" borderId="54" xfId="7" applyFont="1" applyBorder="1" applyAlignment="1">
      <alignment horizontal="center" vertical="center"/>
    </xf>
    <xf numFmtId="0" fontId="11" fillId="4" borderId="52" xfId="10" applyFont="1" applyFill="1" applyBorder="1" applyAlignment="1">
      <alignment horizontal="left" vertical="center" wrapText="1"/>
    </xf>
    <xf numFmtId="0" fontId="11" fillId="4" borderId="52" xfId="9" applyFont="1" applyFill="1" applyBorder="1" applyAlignment="1">
      <alignment horizontal="center" vertical="center" wrapText="1"/>
    </xf>
    <xf numFmtId="2" fontId="11" fillId="4" borderId="52" xfId="9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24" fillId="0" borderId="0" xfId="0" applyNumberFormat="1" applyFont="1" applyBorder="1" applyAlignment="1">
      <alignment horizontal="center" vertical="center"/>
    </xf>
    <xf numFmtId="0" fontId="11" fillId="4" borderId="52" xfId="0" applyFont="1" applyFill="1" applyBorder="1" applyAlignment="1">
      <alignment horizontal="left" vertical="center" wrapText="1"/>
    </xf>
    <xf numFmtId="0" fontId="3" fillId="0" borderId="29" xfId="9" applyFont="1" applyBorder="1" applyAlignment="1">
      <alignment horizontal="center" vertical="center" wrapText="1"/>
    </xf>
    <xf numFmtId="2" fontId="3" fillId="0" borderId="29" xfId="9" applyNumberFormat="1" applyFont="1" applyBorder="1" applyAlignment="1">
      <alignment horizontal="center" vertical="center" wrapText="1"/>
    </xf>
    <xf numFmtId="0" fontId="3" fillId="0" borderId="29" xfId="9" applyFont="1" applyBorder="1" applyAlignment="1">
      <alignment horizontal="left" vertical="center" wrapText="1"/>
    </xf>
    <xf numFmtId="2" fontId="3" fillId="0" borderId="29" xfId="9" applyNumberFormat="1" applyFont="1" applyBorder="1" applyAlignment="1">
      <alignment horizontal="left" vertical="center" wrapText="1"/>
    </xf>
    <xf numFmtId="2" fontId="11" fillId="4" borderId="29" xfId="6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wrapText="1"/>
    </xf>
    <xf numFmtId="0" fontId="1" fillId="0" borderId="29" xfId="0" applyFont="1" applyBorder="1" applyAlignment="1">
      <alignment horizontal="left" vertical="center" wrapText="1"/>
    </xf>
    <xf numFmtId="0" fontId="1" fillId="6" borderId="29" xfId="0" applyFont="1" applyFill="1" applyBorder="1" applyAlignment="1">
      <alignment horizontal="left" vertical="center" wrapText="1"/>
    </xf>
    <xf numFmtId="0" fontId="1" fillId="6" borderId="29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4" fillId="0" borderId="37" xfId="0" applyFont="1" applyBorder="1" applyAlignment="1">
      <alignment horizontal="right"/>
    </xf>
    <xf numFmtId="0" fontId="4" fillId="0" borderId="3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0" fontId="4" fillId="0" borderId="33" xfId="0" applyFont="1" applyBorder="1" applyAlignment="1">
      <alignment horizontal="right"/>
    </xf>
    <xf numFmtId="0" fontId="4" fillId="0" borderId="34" xfId="0" applyFont="1" applyBorder="1" applyAlignment="1">
      <alignment horizontal="right"/>
    </xf>
    <xf numFmtId="164" fontId="3" fillId="0" borderId="29" xfId="0" applyNumberFormat="1" applyFont="1" applyBorder="1" applyAlignment="1">
      <alignment horizontal="left" vertical="top" wrapText="1"/>
    </xf>
    <xf numFmtId="164" fontId="3" fillId="0" borderId="30" xfId="0" applyNumberFormat="1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left" vertical="top" wrapText="1"/>
    </xf>
    <xf numFmtId="164" fontId="3" fillId="0" borderId="22" xfId="0" applyNumberFormat="1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64" fontId="4" fillId="0" borderId="41" xfId="0" applyNumberFormat="1" applyFont="1" applyBorder="1" applyAlignment="1">
      <alignment horizontal="left"/>
    </xf>
    <xf numFmtId="164" fontId="3" fillId="0" borderId="39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justify"/>
    </xf>
    <xf numFmtId="0" fontId="4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top"/>
    </xf>
    <xf numFmtId="164" fontId="4" fillId="0" borderId="39" xfId="0" applyNumberFormat="1" applyFont="1" applyBorder="1" applyAlignment="1">
      <alignment horizontal="left"/>
    </xf>
    <xf numFmtId="0" fontId="3" fillId="0" borderId="0" xfId="0" applyFont="1" applyAlignment="1">
      <alignment horizontal="center" vertical="justify"/>
    </xf>
    <xf numFmtId="165" fontId="3" fillId="0" borderId="39" xfId="0" applyNumberFormat="1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center" vertical="center" textRotation="90" wrapText="1"/>
    </xf>
    <xf numFmtId="0" fontId="3" fillId="0" borderId="34" xfId="0" applyFont="1" applyFill="1" applyBorder="1" applyAlignment="1">
      <alignment horizontal="center" vertical="center" textRotation="90" wrapText="1"/>
    </xf>
    <xf numFmtId="165" fontId="3" fillId="0" borderId="1" xfId="0" applyNumberFormat="1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0" xfId="3" applyFont="1" applyFill="1" applyBorder="1" applyAlignment="1">
      <alignment horizontal="right" wrapText="1"/>
    </xf>
    <xf numFmtId="0" fontId="3" fillId="0" borderId="13" xfId="3" applyFont="1" applyFill="1" applyBorder="1" applyAlignment="1">
      <alignment horizontal="right" wrapText="1"/>
    </xf>
    <xf numFmtId="0" fontId="3" fillId="0" borderId="14" xfId="3" applyFont="1" applyFill="1" applyBorder="1" applyAlignment="1">
      <alignment horizontal="right" wrapText="1"/>
    </xf>
    <xf numFmtId="0" fontId="28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32" xfId="0" applyFont="1" applyFill="1" applyBorder="1" applyAlignment="1">
      <alignment horizontal="center" vertical="center" textRotation="90" wrapText="1"/>
    </xf>
    <xf numFmtId="0" fontId="3" fillId="0" borderId="21" xfId="0" applyFont="1" applyFill="1" applyBorder="1" applyAlignment="1">
      <alignment horizontal="center" vertical="center" textRotation="90" wrapText="1"/>
    </xf>
    <xf numFmtId="0" fontId="3" fillId="0" borderId="33" xfId="0" applyFont="1" applyFill="1" applyBorder="1" applyAlignment="1">
      <alignment horizontal="center" vertical="center" textRotation="90" wrapText="1"/>
    </xf>
    <xf numFmtId="0" fontId="3" fillId="0" borderId="3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textRotation="90"/>
    </xf>
    <xf numFmtId="0" fontId="3" fillId="0" borderId="33" xfId="0" applyFont="1" applyFill="1" applyBorder="1" applyAlignment="1">
      <alignment horizontal="center" vertical="center" textRotation="90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wrapText="1"/>
    </xf>
    <xf numFmtId="0" fontId="3" fillId="0" borderId="49" xfId="3" applyFont="1" applyFill="1" applyBorder="1" applyAlignment="1">
      <alignment horizontal="right" wrapText="1"/>
    </xf>
    <xf numFmtId="0" fontId="3" fillId="0" borderId="50" xfId="3" applyFont="1" applyFill="1" applyBorder="1" applyAlignment="1">
      <alignment horizontal="right" wrapText="1"/>
    </xf>
    <xf numFmtId="0" fontId="3" fillId="0" borderId="55" xfId="3" applyFont="1" applyFill="1" applyBorder="1" applyAlignment="1">
      <alignment horizontal="right" wrapText="1"/>
    </xf>
    <xf numFmtId="0" fontId="28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165" fontId="3" fillId="0" borderId="39" xfId="0" applyNumberFormat="1" applyFont="1" applyBorder="1" applyAlignment="1">
      <alignment horizontal="left" wrapText="1"/>
    </xf>
    <xf numFmtId="164" fontId="3" fillId="0" borderId="0" xfId="0" applyNumberFormat="1" applyFont="1" applyAlignment="1">
      <alignment horizontal="center" vertical="center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33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3" fillId="0" borderId="33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0" xfId="3" applyFont="1" applyBorder="1" applyAlignment="1">
      <alignment horizontal="right" wrapText="1"/>
    </xf>
    <xf numFmtId="0" fontId="3" fillId="0" borderId="13" xfId="3" applyFont="1" applyBorder="1" applyAlignment="1">
      <alignment horizontal="right" wrapText="1"/>
    </xf>
    <xf numFmtId="0" fontId="3" fillId="0" borderId="50" xfId="3" applyFont="1" applyBorder="1" applyAlignment="1">
      <alignment horizontal="right" wrapText="1"/>
    </xf>
    <xf numFmtId="0" fontId="3" fillId="0" borderId="57" xfId="3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right" vertical="center"/>
    </xf>
    <xf numFmtId="0" fontId="3" fillId="0" borderId="14" xfId="3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/>
    </xf>
    <xf numFmtId="0" fontId="4" fillId="0" borderId="10" xfId="3" applyFont="1" applyBorder="1" applyAlignment="1">
      <alignment horizontal="right" wrapText="1"/>
    </xf>
    <xf numFmtId="0" fontId="4" fillId="0" borderId="13" xfId="3" applyFont="1" applyBorder="1" applyAlignment="1">
      <alignment horizontal="right" wrapText="1"/>
    </xf>
    <xf numFmtId="0" fontId="4" fillId="0" borderId="14" xfId="3" applyFont="1" applyBorder="1" applyAlignment="1">
      <alignment horizontal="right" wrapText="1"/>
    </xf>
    <xf numFmtId="0" fontId="9" fillId="0" borderId="0" xfId="0" applyFont="1" applyAlignment="1">
      <alignment horizontal="left" wrapText="1"/>
    </xf>
    <xf numFmtId="0" fontId="17" fillId="0" borderId="5" xfId="0" applyFont="1" applyBorder="1" applyAlignment="1">
      <alignment horizontal="right" vertical="center"/>
    </xf>
    <xf numFmtId="0" fontId="17" fillId="0" borderId="2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" fillId="0" borderId="29" xfId="0" applyFont="1" applyBorder="1" applyAlignment="1">
      <alignment vertical="center" wrapText="1"/>
    </xf>
    <xf numFmtId="0" fontId="13" fillId="6" borderId="29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horizontal="left" vertical="center" wrapText="1"/>
    </xf>
  </cellXfs>
  <cellStyles count="11">
    <cellStyle name="Excel_BuiltIn_Explanatory Text" xfId="10" xr:uid="{082AB624-E819-495F-BBFE-E1F600309983}"/>
    <cellStyle name="Komats" xfId="4" builtinId="3"/>
    <cellStyle name="Normal 2" xfId="2" xr:uid="{7728D04F-492C-44E8-B42B-2D52765FDA4E}"/>
    <cellStyle name="Normal 2 3" xfId="8" xr:uid="{191093C3-3311-45F8-B733-2D9FD858F9F0}"/>
    <cellStyle name="Normal_DA" xfId="7" xr:uid="{5DB83E26-D458-4A91-B30C-9A7858130CDC}"/>
    <cellStyle name="Parasts" xfId="0" builtinId="0"/>
    <cellStyle name="Parasts 3" xfId="6" xr:uid="{1E87471E-E70E-47A4-B14A-B3C2A54582AD}"/>
    <cellStyle name="Style 1" xfId="5" xr:uid="{71F6F572-E75C-4013-8CF5-0817B1AE5724}"/>
    <cellStyle name="Style 1 2" xfId="9" xr:uid="{E5EE4D82-7CC1-4C2F-B806-B7F17759DF75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80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114480</xdr:colOff>
      <xdr:row>1</xdr:row>
      <xdr:rowOff>20160</xdr:rowOff>
    </xdr:from>
    <xdr:to>
      <xdr:col>23</xdr:col>
      <xdr:colOff>583830</xdr:colOff>
      <xdr:row>13</xdr:row>
      <xdr:rowOff>80315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AED7043D-99EF-43FC-AE14-8D2AB6230E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5659280" y="163035"/>
          <a:ext cx="1688550" cy="191753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24</xdr:col>
      <xdr:colOff>154080</xdr:colOff>
      <xdr:row>1</xdr:row>
      <xdr:rowOff>47520</xdr:rowOff>
    </xdr:from>
    <xdr:to>
      <xdr:col>26</xdr:col>
      <xdr:colOff>582060</xdr:colOff>
      <xdr:row>13</xdr:row>
      <xdr:rowOff>91115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72888D58-540B-4E76-B791-73078F8E2F8A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17499105" y="190395"/>
          <a:ext cx="1647180" cy="190097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21</xdr:col>
      <xdr:colOff>101520</xdr:colOff>
      <xdr:row>22</xdr:row>
      <xdr:rowOff>0</xdr:rowOff>
    </xdr:from>
    <xdr:to>
      <xdr:col>24</xdr:col>
      <xdr:colOff>77054</xdr:colOff>
      <xdr:row>37</xdr:row>
      <xdr:rowOff>94562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95E6C839-A596-425C-9FD4-545EDF1B6937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15646320" y="3857625"/>
          <a:ext cx="1804334" cy="224721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24</xdr:col>
      <xdr:colOff>77760</xdr:colOff>
      <xdr:row>22</xdr:row>
      <xdr:rowOff>0</xdr:rowOff>
    </xdr:from>
    <xdr:to>
      <xdr:col>27</xdr:col>
      <xdr:colOff>901</xdr:colOff>
      <xdr:row>37</xdr:row>
      <xdr:rowOff>46076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ADEB09E9-B08E-4E6C-9284-A9052AF19BB7}"/>
            </a:ext>
          </a:extLst>
        </xdr:cNvPr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17422785" y="3857625"/>
          <a:ext cx="1742416" cy="219872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21</xdr:col>
      <xdr:colOff>127080</xdr:colOff>
      <xdr:row>22</xdr:row>
      <xdr:rowOff>0</xdr:rowOff>
    </xdr:from>
    <xdr:to>
      <xdr:col>24</xdr:col>
      <xdr:colOff>120059</xdr:colOff>
      <xdr:row>34</xdr:row>
      <xdr:rowOff>99610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E8DEB899-9FAC-4167-8086-E39775DCDD78}"/>
            </a:ext>
          </a:extLst>
        </xdr:cNvPr>
        <xdr:cNvPicPr/>
      </xdr:nvPicPr>
      <xdr:blipFill>
        <a:blip xmlns:r="http://schemas.openxmlformats.org/officeDocument/2006/relationships" r:embed="rId5" cstate="print"/>
        <a:stretch/>
      </xdr:blipFill>
      <xdr:spPr>
        <a:xfrm>
          <a:off x="15671880" y="3857625"/>
          <a:ext cx="1821779" cy="18236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24</xdr:col>
      <xdr:colOff>166320</xdr:colOff>
      <xdr:row>22</xdr:row>
      <xdr:rowOff>25560</xdr:rowOff>
    </xdr:from>
    <xdr:to>
      <xdr:col>27</xdr:col>
      <xdr:colOff>3421</xdr:colOff>
      <xdr:row>34</xdr:row>
      <xdr:rowOff>17479</xdr:rowOff>
    </xdr:to>
    <xdr:pic>
      <xdr:nvPicPr>
        <xdr:cNvPr id="7" name="Picture 12">
          <a:extLst>
            <a:ext uri="{FF2B5EF4-FFF2-40B4-BE49-F238E27FC236}">
              <a16:creationId xmlns:a16="http://schemas.microsoft.com/office/drawing/2014/main" id="{505DC926-0ECC-4428-BDE2-E1F4551DD15A}"/>
            </a:ext>
          </a:extLst>
        </xdr:cNvPr>
        <xdr:cNvPicPr/>
      </xdr:nvPicPr>
      <xdr:blipFill>
        <a:blip xmlns:r="http://schemas.openxmlformats.org/officeDocument/2006/relationships" r:embed="rId6" cstate="print"/>
        <a:stretch/>
      </xdr:blipFill>
      <xdr:spPr>
        <a:xfrm>
          <a:off x="17511345" y="3883185"/>
          <a:ext cx="1656376" cy="171594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27</xdr:col>
      <xdr:colOff>76320</xdr:colOff>
      <xdr:row>1</xdr:row>
      <xdr:rowOff>11880</xdr:rowOff>
    </xdr:from>
    <xdr:to>
      <xdr:col>29</xdr:col>
      <xdr:colOff>555757</xdr:colOff>
      <xdr:row>13</xdr:row>
      <xdr:rowOff>75635</xdr:rowOff>
    </xdr:to>
    <xdr:pic>
      <xdr:nvPicPr>
        <xdr:cNvPr id="8" name="Picture 13">
          <a:extLst>
            <a:ext uri="{FF2B5EF4-FFF2-40B4-BE49-F238E27FC236}">
              <a16:creationId xmlns:a16="http://schemas.microsoft.com/office/drawing/2014/main" id="{E250ECA4-F42F-45ED-9661-ACDBD58366B6}"/>
            </a:ext>
          </a:extLst>
        </xdr:cNvPr>
        <xdr:cNvPicPr/>
      </xdr:nvPicPr>
      <xdr:blipFill>
        <a:blip xmlns:r="http://schemas.openxmlformats.org/officeDocument/2006/relationships" r:embed="rId7" cstate="print"/>
        <a:stretch/>
      </xdr:blipFill>
      <xdr:spPr>
        <a:xfrm>
          <a:off x="19221570" y="154755"/>
          <a:ext cx="1698637" cy="192113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27</xdr:col>
      <xdr:colOff>110160</xdr:colOff>
      <xdr:row>22</xdr:row>
      <xdr:rowOff>0</xdr:rowOff>
    </xdr:from>
    <xdr:to>
      <xdr:col>29</xdr:col>
      <xdr:colOff>594014</xdr:colOff>
      <xdr:row>36</xdr:row>
      <xdr:rowOff>82459</xdr:rowOff>
    </xdr:to>
    <xdr:pic>
      <xdr:nvPicPr>
        <xdr:cNvPr id="9" name="Picture 14">
          <a:extLst>
            <a:ext uri="{FF2B5EF4-FFF2-40B4-BE49-F238E27FC236}">
              <a16:creationId xmlns:a16="http://schemas.microsoft.com/office/drawing/2014/main" id="{2E044C17-E570-494B-8A08-A9C43CEF95D5}"/>
            </a:ext>
          </a:extLst>
        </xdr:cNvPr>
        <xdr:cNvPicPr/>
      </xdr:nvPicPr>
      <xdr:blipFill>
        <a:blip xmlns:r="http://schemas.openxmlformats.org/officeDocument/2006/relationships" r:embed="rId8" cstate="print"/>
        <a:stretch/>
      </xdr:blipFill>
      <xdr:spPr>
        <a:xfrm>
          <a:off x="19255410" y="3857625"/>
          <a:ext cx="1703054" cy="209223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27</xdr:col>
      <xdr:colOff>59760</xdr:colOff>
      <xdr:row>22</xdr:row>
      <xdr:rowOff>0</xdr:rowOff>
    </xdr:from>
    <xdr:to>
      <xdr:col>30</xdr:col>
      <xdr:colOff>2774</xdr:colOff>
      <xdr:row>36</xdr:row>
      <xdr:rowOff>40836</xdr:rowOff>
    </xdr:to>
    <xdr:pic>
      <xdr:nvPicPr>
        <xdr:cNvPr id="10" name="Picture 15">
          <a:extLst>
            <a:ext uri="{FF2B5EF4-FFF2-40B4-BE49-F238E27FC236}">
              <a16:creationId xmlns:a16="http://schemas.microsoft.com/office/drawing/2014/main" id="{2E39CF8D-19C4-4E23-BF22-F85CB5BFC3C1}"/>
            </a:ext>
          </a:extLst>
        </xdr:cNvPr>
        <xdr:cNvPicPr/>
      </xdr:nvPicPr>
      <xdr:blipFill>
        <a:blip xmlns:r="http://schemas.openxmlformats.org/officeDocument/2006/relationships" r:embed="rId9" cstate="print"/>
        <a:stretch/>
      </xdr:blipFill>
      <xdr:spPr>
        <a:xfrm>
          <a:off x="19205010" y="3857625"/>
          <a:ext cx="1771814" cy="205061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30</xdr:col>
      <xdr:colOff>76320</xdr:colOff>
      <xdr:row>1</xdr:row>
      <xdr:rowOff>15480</xdr:rowOff>
    </xdr:from>
    <xdr:to>
      <xdr:col>33</xdr:col>
      <xdr:colOff>3173</xdr:colOff>
      <xdr:row>14</xdr:row>
      <xdr:rowOff>119317</xdr:rowOff>
    </xdr:to>
    <xdr:pic>
      <xdr:nvPicPr>
        <xdr:cNvPr id="11" name="Picture 16">
          <a:extLst>
            <a:ext uri="{FF2B5EF4-FFF2-40B4-BE49-F238E27FC236}">
              <a16:creationId xmlns:a16="http://schemas.microsoft.com/office/drawing/2014/main" id="{3A8F45C0-E9A4-428C-8887-30A22EEDF00F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/>
      </xdr:blipFill>
      <xdr:spPr>
        <a:xfrm>
          <a:off x="21021795" y="158355"/>
          <a:ext cx="1755653" cy="210408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>
    <pageSetUpPr fitToPage="1"/>
  </sheetPr>
  <dimension ref="A2:C39"/>
  <sheetViews>
    <sheetView view="pageBreakPreview" zoomScaleNormal="100" zoomScaleSheetLayoutView="100" workbookViewId="0">
      <selection activeCell="B31" sqref="B31:C31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332" t="s">
        <v>1</v>
      </c>
      <c r="C4" s="332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333" t="s">
        <v>3</v>
      </c>
      <c r="C8" s="333"/>
    </row>
    <row r="11" spans="1:3" x14ac:dyDescent="0.2">
      <c r="B11" s="2" t="s">
        <v>4</v>
      </c>
    </row>
    <row r="12" spans="1:3" x14ac:dyDescent="0.2">
      <c r="B12" s="88" t="s">
        <v>52</v>
      </c>
    </row>
    <row r="13" spans="1:3" x14ac:dyDescent="0.2">
      <c r="A13" s="4" t="s">
        <v>5</v>
      </c>
      <c r="B13" s="81" t="s">
        <v>55</v>
      </c>
      <c r="C13" s="81"/>
    </row>
    <row r="14" spans="1:3" ht="22.5" x14ac:dyDescent="0.2">
      <c r="A14" s="4" t="s">
        <v>6</v>
      </c>
      <c r="B14" s="81" t="s">
        <v>56</v>
      </c>
      <c r="C14" s="81"/>
    </row>
    <row r="15" spans="1:3" x14ac:dyDescent="0.2">
      <c r="A15" s="4" t="s">
        <v>7</v>
      </c>
      <c r="B15" s="80" t="s">
        <v>57</v>
      </c>
      <c r="C15" s="80"/>
    </row>
    <row r="16" spans="1:3" x14ac:dyDescent="0.2">
      <c r="A16" s="4" t="s">
        <v>8</v>
      </c>
      <c r="B16" s="79" t="s">
        <v>58</v>
      </c>
      <c r="C16" s="79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83">
        <v>1</v>
      </c>
      <c r="B19" s="97" t="s">
        <v>59</v>
      </c>
      <c r="C19" s="9">
        <f>'Kops a'!E29</f>
        <v>0</v>
      </c>
    </row>
    <row r="20" spans="1:3" x14ac:dyDescent="0.2">
      <c r="A20" s="84"/>
      <c r="B20" s="85"/>
      <c r="C20" s="10"/>
    </row>
    <row r="21" spans="1:3" x14ac:dyDescent="0.2">
      <c r="A21" s="86"/>
      <c r="B21" s="8"/>
      <c r="C21" s="10"/>
    </row>
    <row r="22" spans="1:3" x14ac:dyDescent="0.2">
      <c r="A22" s="86"/>
      <c r="B22" s="8"/>
      <c r="C22" s="10"/>
    </row>
    <row r="23" spans="1:3" x14ac:dyDescent="0.2">
      <c r="A23" s="86"/>
      <c r="B23" s="8"/>
      <c r="C23" s="10"/>
    </row>
    <row r="24" spans="1:3" x14ac:dyDescent="0.2">
      <c r="A24" s="86"/>
      <c r="B24" s="8"/>
      <c r="C24" s="10"/>
    </row>
    <row r="25" spans="1:3" ht="12" thickBot="1" x14ac:dyDescent="0.25">
      <c r="A25" s="87"/>
      <c r="B25" s="53"/>
      <c r="C25" s="54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2" thickBot="1" x14ac:dyDescent="0.25">
      <c r="B27" s="14"/>
      <c r="C27" s="15"/>
    </row>
    <row r="28" spans="1:3" ht="12" thickBot="1" x14ac:dyDescent="0.25">
      <c r="A28" s="334" t="s">
        <v>13</v>
      </c>
      <c r="B28" s="335"/>
      <c r="C28" s="16">
        <f>ROUND(C26*21%,2)</f>
        <v>0</v>
      </c>
    </row>
    <row r="31" spans="1:3" x14ac:dyDescent="0.2">
      <c r="A31" s="1" t="s">
        <v>14</v>
      </c>
      <c r="B31" s="336"/>
      <c r="C31" s="336"/>
    </row>
    <row r="32" spans="1:3" x14ac:dyDescent="0.2">
      <c r="B32" s="331" t="s">
        <v>15</v>
      </c>
      <c r="C32" s="331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512</v>
      </c>
    </row>
    <row r="38" spans="1:3" x14ac:dyDescent="0.2">
      <c r="A38" s="98" t="s">
        <v>60</v>
      </c>
    </row>
    <row r="39" spans="1:3" x14ac:dyDescent="0.2">
      <c r="A39" s="98" t="s">
        <v>61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79" priority="9" operator="equal">
      <formula>0</formula>
    </cfRule>
  </conditionalFormatting>
  <conditionalFormatting sqref="B13:B16">
    <cfRule type="cellIs" dxfId="178" priority="8" operator="equal">
      <formula>0</formula>
    </cfRule>
  </conditionalFormatting>
  <conditionalFormatting sqref="B19">
    <cfRule type="cellIs" dxfId="177" priority="7" operator="equal">
      <formula>0</formula>
    </cfRule>
  </conditionalFormatting>
  <conditionalFormatting sqref="B34">
    <cfRule type="cellIs" dxfId="176" priority="5" operator="equal">
      <formula>0</formula>
    </cfRule>
  </conditionalFormatting>
  <conditionalFormatting sqref="B31:C31">
    <cfRule type="cellIs" dxfId="175" priority="3" operator="equal">
      <formula>0</formula>
    </cfRule>
  </conditionalFormatting>
  <conditionalFormatting sqref="A19">
    <cfRule type="cellIs" dxfId="174" priority="2" operator="equal">
      <formula>0</formula>
    </cfRule>
  </conditionalFormatting>
  <conditionalFormatting sqref="A36">
    <cfRule type="containsText" dxfId="173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>
    <pageSetUpPr fitToPage="1"/>
  </sheetPr>
  <dimension ref="A1:P170"/>
  <sheetViews>
    <sheetView tabSelected="1" view="pageBreakPreview" topLeftCell="A13" zoomScaleNormal="100" zoomScaleSheetLayoutView="100" zoomScalePageLayoutView="85" workbookViewId="0">
      <selection activeCell="C56" sqref="C56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9.710937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a'!A22</f>
        <v>8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430" t="s">
        <v>285</v>
      </c>
      <c r="D2" s="430"/>
      <c r="E2" s="430"/>
      <c r="F2" s="430"/>
      <c r="G2" s="430"/>
      <c r="H2" s="430"/>
      <c r="I2" s="430"/>
      <c r="J2" s="29"/>
    </row>
    <row r="3" spans="1:16" x14ac:dyDescent="0.2">
      <c r="A3" s="30"/>
      <c r="B3" s="30"/>
      <c r="C3" s="374" t="s">
        <v>17</v>
      </c>
      <c r="D3" s="374"/>
      <c r="E3" s="374"/>
      <c r="F3" s="374"/>
      <c r="G3" s="374"/>
      <c r="H3" s="374"/>
      <c r="I3" s="374"/>
      <c r="J3" s="30"/>
    </row>
    <row r="4" spans="1:16" x14ac:dyDescent="0.2">
      <c r="A4" s="30"/>
      <c r="B4" s="30"/>
      <c r="C4" s="422" t="s">
        <v>52</v>
      </c>
      <c r="D4" s="422"/>
      <c r="E4" s="422"/>
      <c r="F4" s="422"/>
      <c r="G4" s="422"/>
      <c r="H4" s="422"/>
      <c r="I4" s="422"/>
      <c r="J4" s="30"/>
    </row>
    <row r="5" spans="1:16" x14ac:dyDescent="0.2">
      <c r="A5" s="23"/>
      <c r="B5" s="23"/>
      <c r="C5" s="27" t="s">
        <v>5</v>
      </c>
      <c r="D5" s="408" t="str">
        <f>'Kops a'!D6</f>
        <v>Daudzdzīvokļu dzīvojamā ēka</v>
      </c>
      <c r="E5" s="408"/>
      <c r="F5" s="408"/>
      <c r="G5" s="408"/>
      <c r="H5" s="408"/>
      <c r="I5" s="408"/>
      <c r="J5" s="408"/>
      <c r="K5" s="408"/>
      <c r="L5" s="408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408" t="str">
        <f>'Kops a'!D7</f>
        <v>Daudzdzīvokļu dzīvojamās ēkas energoefektivitātes paaugstināšanas pasākumi</v>
      </c>
      <c r="E6" s="408"/>
      <c r="F6" s="408"/>
      <c r="G6" s="408"/>
      <c r="H6" s="408"/>
      <c r="I6" s="408"/>
      <c r="J6" s="408"/>
      <c r="K6" s="408"/>
      <c r="L6" s="40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408" t="str">
        <f>'Kops a'!D8</f>
        <v>Rojas iela 2, Liepāja</v>
      </c>
      <c r="E7" s="408"/>
      <c r="F7" s="408"/>
      <c r="G7" s="408"/>
      <c r="H7" s="408"/>
      <c r="I7" s="408"/>
      <c r="J7" s="408"/>
      <c r="K7" s="408"/>
      <c r="L7" s="40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408" t="str">
        <f>'Kops a'!D9</f>
        <v>WS-54-15</v>
      </c>
      <c r="E8" s="408"/>
      <c r="F8" s="408"/>
      <c r="G8" s="408"/>
      <c r="H8" s="408"/>
      <c r="I8" s="408"/>
      <c r="J8" s="408"/>
      <c r="K8" s="408"/>
      <c r="L8" s="408"/>
      <c r="M8" s="17"/>
      <c r="N8" s="17"/>
      <c r="O8" s="17"/>
      <c r="P8" s="17"/>
    </row>
    <row r="9" spans="1:16" ht="11.25" customHeight="1" x14ac:dyDescent="0.2">
      <c r="A9" s="427" t="s">
        <v>515</v>
      </c>
      <c r="B9" s="427"/>
      <c r="C9" s="427"/>
      <c r="D9" s="427"/>
      <c r="E9" s="427"/>
      <c r="F9" s="427"/>
      <c r="G9" s="31"/>
      <c r="H9" s="31"/>
      <c r="I9" s="31"/>
      <c r="J9" s="428" t="s">
        <v>39</v>
      </c>
      <c r="K9" s="428"/>
      <c r="L9" s="428"/>
      <c r="M9" s="428"/>
      <c r="N9" s="409">
        <f>P155</f>
        <v>0</v>
      </c>
      <c r="O9" s="409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3"/>
      <c r="P10" s="92" t="str">
        <f>A161</f>
        <v>Tāme sastādīta 2021. gada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368" t="s">
        <v>23</v>
      </c>
      <c r="B12" s="411" t="s">
        <v>40</v>
      </c>
      <c r="C12" s="413" t="s">
        <v>41</v>
      </c>
      <c r="D12" s="415" t="s">
        <v>42</v>
      </c>
      <c r="E12" s="417" t="s">
        <v>43</v>
      </c>
      <c r="F12" s="419" t="s">
        <v>44</v>
      </c>
      <c r="G12" s="413"/>
      <c r="H12" s="413"/>
      <c r="I12" s="413"/>
      <c r="J12" s="413"/>
      <c r="K12" s="420"/>
      <c r="L12" s="419" t="s">
        <v>45</v>
      </c>
      <c r="M12" s="413"/>
      <c r="N12" s="413"/>
      <c r="O12" s="413"/>
      <c r="P12" s="420"/>
    </row>
    <row r="13" spans="1:16" ht="126.75" customHeight="1" thickBot="1" x14ac:dyDescent="0.25">
      <c r="A13" s="410"/>
      <c r="B13" s="412"/>
      <c r="C13" s="414"/>
      <c r="D13" s="416"/>
      <c r="E13" s="418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121"/>
      <c r="B14" s="122"/>
      <c r="C14" s="127" t="s">
        <v>359</v>
      </c>
      <c r="D14" s="123"/>
      <c r="E14" s="124"/>
      <c r="F14" s="121"/>
      <c r="G14" s="125"/>
      <c r="H14" s="125"/>
      <c r="I14" s="125"/>
      <c r="J14" s="125"/>
      <c r="K14" s="126"/>
      <c r="L14" s="287"/>
      <c r="M14" s="288"/>
      <c r="N14" s="288"/>
      <c r="O14" s="288"/>
      <c r="P14" s="289"/>
    </row>
    <row r="15" spans="1:16" x14ac:dyDescent="0.2">
      <c r="A15" s="64"/>
      <c r="B15" s="109"/>
      <c r="C15" s="110" t="s">
        <v>286</v>
      </c>
      <c r="D15" s="111"/>
      <c r="E15" s="69"/>
      <c r="F15" s="70"/>
      <c r="G15" s="67"/>
      <c r="H15" s="67"/>
      <c r="I15" s="67"/>
      <c r="J15" s="67"/>
      <c r="K15" s="68"/>
      <c r="L15" s="70"/>
      <c r="M15" s="67"/>
      <c r="N15" s="67"/>
      <c r="O15" s="67"/>
      <c r="P15" s="68"/>
    </row>
    <row r="16" spans="1:16" ht="22.5" x14ac:dyDescent="0.2">
      <c r="A16" s="38">
        <f>IF(COUNTBLANK(B16)=1," ",COUNTA(B$16:B16))</f>
        <v>1</v>
      </c>
      <c r="B16" s="39" t="s">
        <v>65</v>
      </c>
      <c r="C16" s="113" t="s">
        <v>288</v>
      </c>
      <c r="D16" s="111" t="s">
        <v>67</v>
      </c>
      <c r="E16" s="69">
        <v>34</v>
      </c>
      <c r="F16" s="70"/>
      <c r="G16" s="67"/>
      <c r="H16" s="48"/>
      <c r="I16" s="67"/>
      <c r="J16" s="67"/>
      <c r="K16" s="49"/>
      <c r="L16" s="50"/>
      <c r="M16" s="48"/>
      <c r="N16" s="48"/>
      <c r="O16" s="48"/>
      <c r="P16" s="49"/>
    </row>
    <row r="17" spans="1:16" ht="22.5" x14ac:dyDescent="0.2">
      <c r="A17" s="38">
        <f>IF(COUNTBLANK(B17)=1," ",COUNTA(B$16:B17))</f>
        <v>2</v>
      </c>
      <c r="B17" s="39" t="s">
        <v>65</v>
      </c>
      <c r="C17" s="113" t="s">
        <v>289</v>
      </c>
      <c r="D17" s="111" t="s">
        <v>67</v>
      </c>
      <c r="E17" s="69">
        <v>168</v>
      </c>
      <c r="F17" s="70"/>
      <c r="G17" s="67"/>
      <c r="H17" s="48"/>
      <c r="I17" s="67"/>
      <c r="J17" s="67"/>
      <c r="K17" s="49"/>
      <c r="L17" s="50"/>
      <c r="M17" s="48"/>
      <c r="N17" s="48"/>
      <c r="O17" s="48"/>
      <c r="P17" s="49"/>
    </row>
    <row r="18" spans="1:16" x14ac:dyDescent="0.2">
      <c r="A18" s="38">
        <f>IF(COUNTBLANK(B18)=1," ",COUNTA(B$16:B18))</f>
        <v>3</v>
      </c>
      <c r="B18" s="39" t="s">
        <v>65</v>
      </c>
      <c r="C18" s="114" t="s">
        <v>321</v>
      </c>
      <c r="D18" s="111" t="s">
        <v>67</v>
      </c>
      <c r="E18" s="69">
        <v>48</v>
      </c>
      <c r="F18" s="70"/>
      <c r="G18" s="67"/>
      <c r="H18" s="48"/>
      <c r="I18" s="67"/>
      <c r="J18" s="67"/>
      <c r="K18" s="49"/>
      <c r="L18" s="50"/>
      <c r="M18" s="48"/>
      <c r="N18" s="48"/>
      <c r="O18" s="48"/>
      <c r="P18" s="49"/>
    </row>
    <row r="19" spans="1:16" x14ac:dyDescent="0.2">
      <c r="A19" s="38">
        <f>IF(COUNTBLANK(B19)=1," ",COUNTA(B$16:B19))</f>
        <v>4</v>
      </c>
      <c r="B19" s="39" t="s">
        <v>65</v>
      </c>
      <c r="C19" s="114" t="s">
        <v>322</v>
      </c>
      <c r="D19" s="111" t="s">
        <v>67</v>
      </c>
      <c r="E19" s="69">
        <v>24</v>
      </c>
      <c r="F19" s="70"/>
      <c r="G19" s="67"/>
      <c r="H19" s="48"/>
      <c r="I19" s="67"/>
      <c r="J19" s="67"/>
      <c r="K19" s="49"/>
      <c r="L19" s="50"/>
      <c r="M19" s="48"/>
      <c r="N19" s="48"/>
      <c r="O19" s="48"/>
      <c r="P19" s="49"/>
    </row>
    <row r="20" spans="1:16" x14ac:dyDescent="0.2">
      <c r="A20" s="38">
        <f>IF(COUNTBLANK(B20)=1," ",COUNTA(B$16:B20))</f>
        <v>5</v>
      </c>
      <c r="B20" s="39" t="s">
        <v>65</v>
      </c>
      <c r="C20" s="114" t="s">
        <v>323</v>
      </c>
      <c r="D20" s="111" t="s">
        <v>67</v>
      </c>
      <c r="E20" s="69">
        <v>36</v>
      </c>
      <c r="F20" s="70"/>
      <c r="G20" s="67"/>
      <c r="H20" s="48"/>
      <c r="I20" s="67"/>
      <c r="J20" s="67"/>
      <c r="K20" s="49"/>
      <c r="L20" s="50"/>
      <c r="M20" s="48"/>
      <c r="N20" s="48"/>
      <c r="O20" s="48"/>
      <c r="P20" s="49"/>
    </row>
    <row r="21" spans="1:16" x14ac:dyDescent="0.2">
      <c r="A21" s="38">
        <f>IF(COUNTBLANK(B21)=1," ",COUNTA(B$16:B21))</f>
        <v>6</v>
      </c>
      <c r="B21" s="39" t="s">
        <v>65</v>
      </c>
      <c r="C21" s="114" t="s">
        <v>324</v>
      </c>
      <c r="D21" s="111" t="s">
        <v>67</v>
      </c>
      <c r="E21" s="69">
        <v>12</v>
      </c>
      <c r="F21" s="70"/>
      <c r="G21" s="67"/>
      <c r="H21" s="48"/>
      <c r="I21" s="67"/>
      <c r="J21" s="67"/>
      <c r="K21" s="49"/>
      <c r="L21" s="50"/>
      <c r="M21" s="48"/>
      <c r="N21" s="48"/>
      <c r="O21" s="48"/>
      <c r="P21" s="49"/>
    </row>
    <row r="22" spans="1:16" x14ac:dyDescent="0.2">
      <c r="A22" s="38">
        <f>IF(COUNTBLANK(B22)=1," ",COUNTA(B$16:B22))</f>
        <v>7</v>
      </c>
      <c r="B22" s="39" t="s">
        <v>65</v>
      </c>
      <c r="C22" s="114" t="s">
        <v>325</v>
      </c>
      <c r="D22" s="111" t="s">
        <v>70</v>
      </c>
      <c r="E22" s="69">
        <v>2</v>
      </c>
      <c r="F22" s="70"/>
      <c r="G22" s="67"/>
      <c r="H22" s="48"/>
      <c r="I22" s="67"/>
      <c r="J22" s="67"/>
      <c r="K22" s="49"/>
      <c r="L22" s="50"/>
      <c r="M22" s="48"/>
      <c r="N22" s="48"/>
      <c r="O22" s="48"/>
      <c r="P22" s="49"/>
    </row>
    <row r="23" spans="1:16" x14ac:dyDescent="0.2">
      <c r="A23" s="38">
        <f>IF(COUNTBLANK(B23)=1," ",COUNTA(B$16:B23))</f>
        <v>8</v>
      </c>
      <c r="B23" s="39" t="s">
        <v>65</v>
      </c>
      <c r="C23" s="114" t="s">
        <v>326</v>
      </c>
      <c r="D23" s="111" t="s">
        <v>70</v>
      </c>
      <c r="E23" s="69">
        <v>8</v>
      </c>
      <c r="F23" s="70"/>
      <c r="G23" s="67"/>
      <c r="H23" s="48"/>
      <c r="I23" s="67"/>
      <c r="J23" s="67"/>
      <c r="K23" s="49"/>
      <c r="L23" s="50"/>
      <c r="M23" s="48"/>
      <c r="N23" s="48"/>
      <c r="O23" s="48"/>
      <c r="P23" s="49"/>
    </row>
    <row r="24" spans="1:16" x14ac:dyDescent="0.2">
      <c r="A24" s="38">
        <f>IF(COUNTBLANK(B24)=1," ",COUNTA(B$16:B24))</f>
        <v>9</v>
      </c>
      <c r="B24" s="39" t="s">
        <v>65</v>
      </c>
      <c r="C24" s="114" t="s">
        <v>313</v>
      </c>
      <c r="D24" s="111" t="s">
        <v>70</v>
      </c>
      <c r="E24" s="69">
        <v>10</v>
      </c>
      <c r="F24" s="70"/>
      <c r="G24" s="67"/>
      <c r="H24" s="48"/>
      <c r="I24" s="67"/>
      <c r="J24" s="67"/>
      <c r="K24" s="49"/>
      <c r="L24" s="50"/>
      <c r="M24" s="48"/>
      <c r="N24" s="48"/>
      <c r="O24" s="48"/>
      <c r="P24" s="49"/>
    </row>
    <row r="25" spans="1:16" ht="22.5" x14ac:dyDescent="0.2">
      <c r="A25" s="38">
        <f>IF(COUNTBLANK(B25)=1," ",COUNTA(B$16:B25))</f>
        <v>10</v>
      </c>
      <c r="B25" s="39" t="s">
        <v>65</v>
      </c>
      <c r="C25" s="113" t="s">
        <v>482</v>
      </c>
      <c r="D25" s="111" t="s">
        <v>70</v>
      </c>
      <c r="E25" s="69">
        <v>4</v>
      </c>
      <c r="F25" s="70"/>
      <c r="G25" s="67"/>
      <c r="H25" s="48"/>
      <c r="I25" s="67"/>
      <c r="J25" s="67"/>
      <c r="K25" s="49"/>
      <c r="L25" s="50"/>
      <c r="M25" s="48"/>
      <c r="N25" s="48"/>
      <c r="O25" s="48"/>
      <c r="P25" s="49"/>
    </row>
    <row r="26" spans="1:16" ht="22.5" x14ac:dyDescent="0.2">
      <c r="A26" s="38">
        <f>IF(COUNTBLANK(B26)=1," ",COUNTA(B$16:B26))</f>
        <v>11</v>
      </c>
      <c r="B26" s="39" t="s">
        <v>65</v>
      </c>
      <c r="C26" s="113" t="s">
        <v>481</v>
      </c>
      <c r="D26" s="111" t="s">
        <v>70</v>
      </c>
      <c r="E26" s="69">
        <v>4</v>
      </c>
      <c r="F26" s="70"/>
      <c r="G26" s="67"/>
      <c r="H26" s="48"/>
      <c r="I26" s="67"/>
      <c r="J26" s="67"/>
      <c r="K26" s="49"/>
      <c r="L26" s="50"/>
      <c r="M26" s="48"/>
      <c r="N26" s="48"/>
      <c r="O26" s="48"/>
      <c r="P26" s="49"/>
    </row>
    <row r="27" spans="1:16" ht="22.5" x14ac:dyDescent="0.2">
      <c r="A27" s="38">
        <f>IF(COUNTBLANK(B27)=1," ",COUNTA(B$16:B27))</f>
        <v>12</v>
      </c>
      <c r="B27" s="39" t="s">
        <v>65</v>
      </c>
      <c r="C27" s="113" t="s">
        <v>290</v>
      </c>
      <c r="D27" s="111" t="s">
        <v>70</v>
      </c>
      <c r="E27" s="69">
        <v>4</v>
      </c>
      <c r="F27" s="70"/>
      <c r="G27" s="67"/>
      <c r="H27" s="48"/>
      <c r="I27" s="67"/>
      <c r="J27" s="67"/>
      <c r="K27" s="49"/>
      <c r="L27" s="50"/>
      <c r="M27" s="48"/>
      <c r="N27" s="48"/>
      <c r="O27" s="48"/>
      <c r="P27" s="49"/>
    </row>
    <row r="28" spans="1:16" ht="22.5" x14ac:dyDescent="0.2">
      <c r="A28" s="38">
        <f>IF(COUNTBLANK(B28)=1," ",COUNTA(B$16:B28))</f>
        <v>13</v>
      </c>
      <c r="B28" s="39" t="s">
        <v>65</v>
      </c>
      <c r="C28" s="113" t="s">
        <v>291</v>
      </c>
      <c r="D28" s="111" t="s">
        <v>70</v>
      </c>
      <c r="E28" s="69">
        <v>8</v>
      </c>
      <c r="F28" s="70"/>
      <c r="G28" s="67"/>
      <c r="H28" s="48"/>
      <c r="I28" s="67"/>
      <c r="J28" s="67"/>
      <c r="K28" s="49"/>
      <c r="L28" s="50"/>
      <c r="M28" s="48"/>
      <c r="N28" s="48"/>
      <c r="O28" s="48"/>
      <c r="P28" s="49"/>
    </row>
    <row r="29" spans="1:16" ht="22.5" x14ac:dyDescent="0.2">
      <c r="A29" s="38">
        <f>IF(COUNTBLANK(B29)=1," ",COUNTA(B$16:B29))</f>
        <v>14</v>
      </c>
      <c r="B29" s="39" t="s">
        <v>65</v>
      </c>
      <c r="C29" s="113" t="s">
        <v>292</v>
      </c>
      <c r="D29" s="111" t="s">
        <v>70</v>
      </c>
      <c r="E29" s="69">
        <v>8</v>
      </c>
      <c r="F29" s="70"/>
      <c r="G29" s="67"/>
      <c r="H29" s="48"/>
      <c r="I29" s="67"/>
      <c r="J29" s="67"/>
      <c r="K29" s="49"/>
      <c r="L29" s="50"/>
      <c r="M29" s="48"/>
      <c r="N29" s="48"/>
      <c r="O29" s="48"/>
      <c r="P29" s="49"/>
    </row>
    <row r="30" spans="1:16" x14ac:dyDescent="0.2">
      <c r="A30" s="38">
        <f>IF(COUNTBLANK(B30)=1," ",COUNTA(B$16:B30))</f>
        <v>15</v>
      </c>
      <c r="B30" s="39" t="s">
        <v>65</v>
      </c>
      <c r="C30" s="113" t="s">
        <v>293</v>
      </c>
      <c r="D30" s="111" t="s">
        <v>70</v>
      </c>
      <c r="E30" s="69">
        <v>8</v>
      </c>
      <c r="F30" s="70"/>
      <c r="G30" s="67"/>
      <c r="H30" s="48"/>
      <c r="I30" s="67"/>
      <c r="J30" s="67"/>
      <c r="K30" s="49"/>
      <c r="L30" s="50"/>
      <c r="M30" s="48"/>
      <c r="N30" s="48"/>
      <c r="O30" s="48"/>
      <c r="P30" s="49"/>
    </row>
    <row r="31" spans="1:16" x14ac:dyDescent="0.2">
      <c r="A31" s="38">
        <f>IF(COUNTBLANK(B31)=1," ",COUNTA(B$16:B31))</f>
        <v>16</v>
      </c>
      <c r="B31" s="39" t="s">
        <v>65</v>
      </c>
      <c r="C31" s="113" t="s">
        <v>294</v>
      </c>
      <c r="D31" s="111" t="s">
        <v>70</v>
      </c>
      <c r="E31" s="69">
        <v>8</v>
      </c>
      <c r="F31" s="70"/>
      <c r="G31" s="67"/>
      <c r="H31" s="48"/>
      <c r="I31" s="67"/>
      <c r="J31" s="67"/>
      <c r="K31" s="49"/>
      <c r="L31" s="50"/>
      <c r="M31" s="48"/>
      <c r="N31" s="48"/>
      <c r="O31" s="48"/>
      <c r="P31" s="49"/>
    </row>
    <row r="32" spans="1:16" x14ac:dyDescent="0.2">
      <c r="A32" s="38">
        <f>IF(COUNTBLANK(B32)=1," ",COUNTA(B$16:B32))</f>
        <v>17</v>
      </c>
      <c r="B32" s="39" t="s">
        <v>65</v>
      </c>
      <c r="C32" s="113" t="s">
        <v>295</v>
      </c>
      <c r="D32" s="111" t="s">
        <v>70</v>
      </c>
      <c r="E32" s="69">
        <v>16</v>
      </c>
      <c r="F32" s="70"/>
      <c r="G32" s="67"/>
      <c r="H32" s="48"/>
      <c r="I32" s="67"/>
      <c r="J32" s="67"/>
      <c r="K32" s="49"/>
      <c r="L32" s="50"/>
      <c r="M32" s="48"/>
      <c r="N32" s="48"/>
      <c r="O32" s="48"/>
      <c r="P32" s="49"/>
    </row>
    <row r="33" spans="1:16" x14ac:dyDescent="0.2">
      <c r="A33" s="38">
        <f>IF(COUNTBLANK(B33)=1," ",COUNTA(B$16:B33))</f>
        <v>18</v>
      </c>
      <c r="B33" s="39" t="s">
        <v>65</v>
      </c>
      <c r="C33" s="113" t="s">
        <v>296</v>
      </c>
      <c r="D33" s="111" t="s">
        <v>70</v>
      </c>
      <c r="E33" s="69">
        <v>8</v>
      </c>
      <c r="F33" s="70"/>
      <c r="G33" s="67"/>
      <c r="H33" s="48"/>
      <c r="I33" s="67"/>
      <c r="J33" s="67"/>
      <c r="K33" s="49"/>
      <c r="L33" s="50"/>
      <c r="M33" s="48"/>
      <c r="N33" s="48"/>
      <c r="O33" s="48"/>
      <c r="P33" s="49"/>
    </row>
    <row r="34" spans="1:16" x14ac:dyDescent="0.2">
      <c r="A34" s="38">
        <f>IF(COUNTBLANK(B34)=1," ",COUNTA(B$16:B34))</f>
        <v>19</v>
      </c>
      <c r="B34" s="39" t="s">
        <v>65</v>
      </c>
      <c r="C34" s="113" t="s">
        <v>297</v>
      </c>
      <c r="D34" s="111" t="s">
        <v>70</v>
      </c>
      <c r="E34" s="69">
        <v>8</v>
      </c>
      <c r="F34" s="70"/>
      <c r="G34" s="67"/>
      <c r="H34" s="48"/>
      <c r="I34" s="67"/>
      <c r="J34" s="67"/>
      <c r="K34" s="49"/>
      <c r="L34" s="50"/>
      <c r="M34" s="48"/>
      <c r="N34" s="48"/>
      <c r="O34" s="48"/>
      <c r="P34" s="49"/>
    </row>
    <row r="35" spans="1:16" x14ac:dyDescent="0.2">
      <c r="A35" s="38">
        <f>IF(COUNTBLANK(B35)=1," ",COUNTA(B$16:B35))</f>
        <v>20</v>
      </c>
      <c r="B35" s="39" t="s">
        <v>65</v>
      </c>
      <c r="C35" s="113" t="s">
        <v>298</v>
      </c>
      <c r="D35" s="111" t="s">
        <v>70</v>
      </c>
      <c r="E35" s="69">
        <v>40</v>
      </c>
      <c r="F35" s="70"/>
      <c r="G35" s="67"/>
      <c r="H35" s="48"/>
      <c r="I35" s="67"/>
      <c r="J35" s="67"/>
      <c r="K35" s="49"/>
      <c r="L35" s="50"/>
      <c r="M35" s="48"/>
      <c r="N35" s="48"/>
      <c r="O35" s="48"/>
      <c r="P35" s="49"/>
    </row>
    <row r="36" spans="1:16" x14ac:dyDescent="0.2">
      <c r="A36" s="38">
        <f>IF(COUNTBLANK(B36)=1," ",COUNTA(B$16:B36))</f>
        <v>21</v>
      </c>
      <c r="B36" s="39" t="s">
        <v>65</v>
      </c>
      <c r="C36" s="113" t="s">
        <v>299</v>
      </c>
      <c r="D36" s="111" t="s">
        <v>70</v>
      </c>
      <c r="E36" s="69">
        <v>32</v>
      </c>
      <c r="F36" s="70"/>
      <c r="G36" s="67"/>
      <c r="H36" s="48"/>
      <c r="I36" s="67"/>
      <c r="J36" s="67"/>
      <c r="K36" s="49"/>
      <c r="L36" s="50"/>
      <c r="M36" s="48"/>
      <c r="N36" s="48"/>
      <c r="O36" s="48"/>
      <c r="P36" s="49"/>
    </row>
    <row r="37" spans="1:16" x14ac:dyDescent="0.2">
      <c r="A37" s="38">
        <f>IF(COUNTBLANK(B37)=1," ",COUNTA(B$16:B37))</f>
        <v>22</v>
      </c>
      <c r="B37" s="39" t="s">
        <v>65</v>
      </c>
      <c r="C37" s="113" t="s">
        <v>300</v>
      </c>
      <c r="D37" s="111" t="s">
        <v>70</v>
      </c>
      <c r="E37" s="69">
        <v>32</v>
      </c>
      <c r="F37" s="70"/>
      <c r="G37" s="67"/>
      <c r="H37" s="48"/>
      <c r="I37" s="67"/>
      <c r="J37" s="67"/>
      <c r="K37" s="49"/>
      <c r="L37" s="50"/>
      <c r="M37" s="48"/>
      <c r="N37" s="48"/>
      <c r="O37" s="48"/>
      <c r="P37" s="49"/>
    </row>
    <row r="38" spans="1:16" x14ac:dyDescent="0.2">
      <c r="A38" s="38">
        <f>IF(COUNTBLANK(B38)=1," ",COUNTA(B$16:B38))</f>
        <v>23</v>
      </c>
      <c r="B38" s="39" t="s">
        <v>65</v>
      </c>
      <c r="C38" s="113" t="s">
        <v>301</v>
      </c>
      <c r="D38" s="111" t="s">
        <v>70</v>
      </c>
      <c r="E38" s="69">
        <v>8</v>
      </c>
      <c r="F38" s="70"/>
      <c r="G38" s="67"/>
      <c r="H38" s="48"/>
      <c r="I38" s="67"/>
      <c r="J38" s="67"/>
      <c r="K38" s="49"/>
      <c r="L38" s="50"/>
      <c r="M38" s="48"/>
      <c r="N38" s="48"/>
      <c r="O38" s="48"/>
      <c r="P38" s="49"/>
    </row>
    <row r="39" spans="1:16" ht="22.5" x14ac:dyDescent="0.2">
      <c r="A39" s="38">
        <f>IF(COUNTBLANK(B39)=1," ",COUNTA(B$16:B39))</f>
        <v>24</v>
      </c>
      <c r="B39" s="39" t="s">
        <v>65</v>
      </c>
      <c r="C39" s="113" t="s">
        <v>302</v>
      </c>
      <c r="D39" s="111" t="s">
        <v>70</v>
      </c>
      <c r="E39" s="69">
        <v>12</v>
      </c>
      <c r="F39" s="70"/>
      <c r="G39" s="67"/>
      <c r="H39" s="48"/>
      <c r="I39" s="67"/>
      <c r="J39" s="67"/>
      <c r="K39" s="49"/>
      <c r="L39" s="50"/>
      <c r="M39" s="48"/>
      <c r="N39" s="48"/>
      <c r="O39" s="48"/>
      <c r="P39" s="49"/>
    </row>
    <row r="40" spans="1:16" ht="22.5" x14ac:dyDescent="0.2">
      <c r="A40" s="38">
        <f>IF(COUNTBLANK(B40)=1," ",COUNTA(B$16:B40))</f>
        <v>25</v>
      </c>
      <c r="B40" s="39" t="s">
        <v>65</v>
      </c>
      <c r="C40" s="113" t="s">
        <v>303</v>
      </c>
      <c r="D40" s="111" t="s">
        <v>70</v>
      </c>
      <c r="E40" s="69">
        <v>24</v>
      </c>
      <c r="F40" s="70"/>
      <c r="G40" s="67"/>
      <c r="H40" s="48"/>
      <c r="I40" s="67"/>
      <c r="J40" s="67"/>
      <c r="K40" s="49"/>
      <c r="L40" s="50"/>
      <c r="M40" s="48"/>
      <c r="N40" s="48"/>
      <c r="O40" s="48"/>
      <c r="P40" s="49"/>
    </row>
    <row r="41" spans="1:16" ht="22.5" x14ac:dyDescent="0.2">
      <c r="A41" s="38">
        <f>IF(COUNTBLANK(B41)=1," ",COUNTA(B$16:B41))</f>
        <v>26</v>
      </c>
      <c r="B41" s="39" t="s">
        <v>65</v>
      </c>
      <c r="C41" s="113" t="s">
        <v>304</v>
      </c>
      <c r="D41" s="111" t="s">
        <v>70</v>
      </c>
      <c r="E41" s="69">
        <v>8</v>
      </c>
      <c r="F41" s="70"/>
      <c r="G41" s="67"/>
      <c r="H41" s="48"/>
      <c r="I41" s="67"/>
      <c r="J41" s="67"/>
      <c r="K41" s="49"/>
      <c r="L41" s="50"/>
      <c r="M41" s="48"/>
      <c r="N41" s="48"/>
      <c r="O41" s="48"/>
      <c r="P41" s="49"/>
    </row>
    <row r="42" spans="1:16" ht="33.75" x14ac:dyDescent="0.2">
      <c r="A42" s="38">
        <f>IF(COUNTBLANK(B42)=1," ",COUNTA(B$16:B42))</f>
        <v>27</v>
      </c>
      <c r="B42" s="39" t="s">
        <v>65</v>
      </c>
      <c r="C42" s="113" t="s">
        <v>327</v>
      </c>
      <c r="D42" s="111" t="s">
        <v>70</v>
      </c>
      <c r="E42" s="69">
        <v>8</v>
      </c>
      <c r="F42" s="70"/>
      <c r="G42" s="67"/>
      <c r="H42" s="48"/>
      <c r="I42" s="67"/>
      <c r="J42" s="67"/>
      <c r="K42" s="49"/>
      <c r="L42" s="50"/>
      <c r="M42" s="48"/>
      <c r="N42" s="48"/>
      <c r="O42" s="48"/>
      <c r="P42" s="49"/>
    </row>
    <row r="43" spans="1:16" ht="33.75" x14ac:dyDescent="0.2">
      <c r="A43" s="38">
        <f>IF(COUNTBLANK(B43)=1," ",COUNTA(B$16:B43))</f>
        <v>28</v>
      </c>
      <c r="B43" s="39" t="s">
        <v>65</v>
      </c>
      <c r="C43" s="113" t="s">
        <v>328</v>
      </c>
      <c r="D43" s="111" t="s">
        <v>70</v>
      </c>
      <c r="E43" s="69">
        <v>28</v>
      </c>
      <c r="F43" s="70"/>
      <c r="G43" s="67"/>
      <c r="H43" s="48"/>
      <c r="I43" s="67"/>
      <c r="J43" s="67"/>
      <c r="K43" s="49"/>
      <c r="L43" s="50"/>
      <c r="M43" s="48"/>
      <c r="N43" s="48"/>
      <c r="O43" s="48"/>
      <c r="P43" s="49"/>
    </row>
    <row r="44" spans="1:16" ht="33.75" x14ac:dyDescent="0.2">
      <c r="A44" s="38">
        <f>IF(COUNTBLANK(B44)=1," ",COUNTA(B$16:B44))</f>
        <v>29</v>
      </c>
      <c r="B44" s="39" t="s">
        <v>65</v>
      </c>
      <c r="C44" s="113" t="s">
        <v>329</v>
      </c>
      <c r="D44" s="111" t="s">
        <v>70</v>
      </c>
      <c r="E44" s="69">
        <v>16</v>
      </c>
      <c r="F44" s="70"/>
      <c r="G44" s="67"/>
      <c r="H44" s="48"/>
      <c r="I44" s="67"/>
      <c r="J44" s="67"/>
      <c r="K44" s="49"/>
      <c r="L44" s="50"/>
      <c r="M44" s="48"/>
      <c r="N44" s="48"/>
      <c r="O44" s="48"/>
      <c r="P44" s="49"/>
    </row>
    <row r="45" spans="1:16" ht="22.5" x14ac:dyDescent="0.2">
      <c r="A45" s="38">
        <f>IF(COUNTBLANK(B45)=1," ",COUNTA(B$16:B45))</f>
        <v>30</v>
      </c>
      <c r="B45" s="39" t="s">
        <v>65</v>
      </c>
      <c r="C45" s="113" t="s">
        <v>330</v>
      </c>
      <c r="D45" s="111" t="s">
        <v>67</v>
      </c>
      <c r="E45" s="69">
        <v>12</v>
      </c>
      <c r="F45" s="70"/>
      <c r="G45" s="67"/>
      <c r="H45" s="48"/>
      <c r="I45" s="67"/>
      <c r="J45" s="67"/>
      <c r="K45" s="49"/>
      <c r="L45" s="50"/>
      <c r="M45" s="48"/>
      <c r="N45" s="48"/>
      <c r="O45" s="48"/>
      <c r="P45" s="49"/>
    </row>
    <row r="46" spans="1:16" ht="33.75" x14ac:dyDescent="0.2">
      <c r="A46" s="38">
        <f>IF(COUNTBLANK(B46)=1," ",COUNTA(B$16:B46))</f>
        <v>31</v>
      </c>
      <c r="B46" s="39" t="s">
        <v>65</v>
      </c>
      <c r="C46" s="113" t="s">
        <v>348</v>
      </c>
      <c r="D46" s="111" t="s">
        <v>67</v>
      </c>
      <c r="E46" s="69">
        <v>34</v>
      </c>
      <c r="F46" s="70"/>
      <c r="G46" s="67"/>
      <c r="H46" s="48"/>
      <c r="I46" s="67"/>
      <c r="J46" s="67"/>
      <c r="K46" s="49"/>
      <c r="L46" s="50"/>
      <c r="M46" s="48"/>
      <c r="N46" s="48"/>
      <c r="O46" s="48"/>
      <c r="P46" s="49"/>
    </row>
    <row r="47" spans="1:16" ht="33.75" x14ac:dyDescent="0.2">
      <c r="A47" s="38">
        <f>IF(COUNTBLANK(B47)=1," ",COUNTA(B$16:B47))</f>
        <v>32</v>
      </c>
      <c r="B47" s="39" t="s">
        <v>65</v>
      </c>
      <c r="C47" s="113" t="s">
        <v>349</v>
      </c>
      <c r="D47" s="111" t="s">
        <v>67</v>
      </c>
      <c r="E47" s="69">
        <v>168</v>
      </c>
      <c r="F47" s="70"/>
      <c r="G47" s="67"/>
      <c r="H47" s="48"/>
      <c r="I47" s="67"/>
      <c r="J47" s="67"/>
      <c r="K47" s="49"/>
      <c r="L47" s="50"/>
      <c r="M47" s="48"/>
      <c r="N47" s="48"/>
      <c r="O47" s="48"/>
      <c r="P47" s="49"/>
    </row>
    <row r="48" spans="1:16" ht="33.75" x14ac:dyDescent="0.2">
      <c r="A48" s="38">
        <f>IF(COUNTBLANK(B48)=1," ",COUNTA(B$16:B48))</f>
        <v>33</v>
      </c>
      <c r="B48" s="39" t="s">
        <v>65</v>
      </c>
      <c r="C48" s="113" t="s">
        <v>350</v>
      </c>
      <c r="D48" s="111" t="s">
        <v>67</v>
      </c>
      <c r="E48" s="69">
        <v>48</v>
      </c>
      <c r="F48" s="70"/>
      <c r="G48" s="67"/>
      <c r="H48" s="48"/>
      <c r="I48" s="67"/>
      <c r="J48" s="67"/>
      <c r="K48" s="49"/>
      <c r="L48" s="50"/>
      <c r="M48" s="48"/>
      <c r="N48" s="48"/>
      <c r="O48" s="48"/>
      <c r="P48" s="49"/>
    </row>
    <row r="49" spans="1:16" ht="33.75" x14ac:dyDescent="0.2">
      <c r="A49" s="38">
        <f>IF(COUNTBLANK(B49)=1," ",COUNTA(B$16:B49))</f>
        <v>34</v>
      </c>
      <c r="B49" s="39" t="s">
        <v>65</v>
      </c>
      <c r="C49" s="113" t="s">
        <v>351</v>
      </c>
      <c r="D49" s="111" t="s">
        <v>67</v>
      </c>
      <c r="E49" s="69">
        <v>24</v>
      </c>
      <c r="F49" s="70"/>
      <c r="G49" s="67"/>
      <c r="H49" s="48"/>
      <c r="I49" s="67"/>
      <c r="J49" s="67"/>
      <c r="K49" s="49"/>
      <c r="L49" s="50"/>
      <c r="M49" s="48"/>
      <c r="N49" s="48"/>
      <c r="O49" s="48"/>
      <c r="P49" s="49"/>
    </row>
    <row r="50" spans="1:16" ht="33.75" x14ac:dyDescent="0.2">
      <c r="A50" s="38">
        <f>IF(COUNTBLANK(B50)=1," ",COUNTA(B$16:B50))</f>
        <v>35</v>
      </c>
      <c r="B50" s="39" t="s">
        <v>65</v>
      </c>
      <c r="C50" s="113" t="s">
        <v>352</v>
      </c>
      <c r="D50" s="111" t="s">
        <v>67</v>
      </c>
      <c r="E50" s="69">
        <v>36</v>
      </c>
      <c r="F50" s="70"/>
      <c r="G50" s="67"/>
      <c r="H50" s="48"/>
      <c r="I50" s="67"/>
      <c r="J50" s="67"/>
      <c r="K50" s="49"/>
      <c r="L50" s="50"/>
      <c r="M50" s="48"/>
      <c r="N50" s="48"/>
      <c r="O50" s="48"/>
      <c r="P50" s="49"/>
    </row>
    <row r="51" spans="1:16" x14ac:dyDescent="0.2">
      <c r="A51" s="38">
        <f>IF(COUNTBLANK(B51)=1," ",COUNTA(B$16:B51))</f>
        <v>36</v>
      </c>
      <c r="B51" s="39" t="s">
        <v>65</v>
      </c>
      <c r="C51" s="115" t="s">
        <v>305</v>
      </c>
      <c r="D51" s="109" t="s">
        <v>83</v>
      </c>
      <c r="E51" s="69">
        <v>20</v>
      </c>
      <c r="F51" s="70"/>
      <c r="G51" s="67"/>
      <c r="H51" s="48"/>
      <c r="I51" s="67"/>
      <c r="J51" s="67"/>
      <c r="K51" s="49"/>
      <c r="L51" s="50"/>
      <c r="M51" s="48"/>
      <c r="N51" s="48"/>
      <c r="O51" s="48"/>
      <c r="P51" s="49"/>
    </row>
    <row r="52" spans="1:16" x14ac:dyDescent="0.2">
      <c r="A52" s="38">
        <f>IF(COUNTBLANK(B52)=1," ",COUNTA(B$16:B52))</f>
        <v>37</v>
      </c>
      <c r="B52" s="39" t="s">
        <v>65</v>
      </c>
      <c r="C52" s="115" t="s">
        <v>306</v>
      </c>
      <c r="D52" s="109" t="s">
        <v>307</v>
      </c>
      <c r="E52" s="69">
        <v>1</v>
      </c>
      <c r="F52" s="70"/>
      <c r="G52" s="67"/>
      <c r="H52" s="48"/>
      <c r="I52" s="67"/>
      <c r="J52" s="67"/>
      <c r="K52" s="49"/>
      <c r="L52" s="50"/>
      <c r="M52" s="48"/>
      <c r="N52" s="48"/>
      <c r="O52" s="48"/>
      <c r="P52" s="49"/>
    </row>
    <row r="53" spans="1:16" x14ac:dyDescent="0.2">
      <c r="A53" s="38">
        <f>IF(COUNTBLANK(B53)=1," ",COUNTA(B$16:B53))</f>
        <v>38</v>
      </c>
      <c r="B53" s="39" t="s">
        <v>65</v>
      </c>
      <c r="C53" s="115" t="s">
        <v>314</v>
      </c>
      <c r="D53" s="109" t="s">
        <v>307</v>
      </c>
      <c r="E53" s="69">
        <v>1</v>
      </c>
      <c r="F53" s="70"/>
      <c r="G53" s="67"/>
      <c r="H53" s="48"/>
      <c r="I53" s="67"/>
      <c r="J53" s="67"/>
      <c r="K53" s="49"/>
      <c r="L53" s="50"/>
      <c r="M53" s="48"/>
      <c r="N53" s="48"/>
      <c r="O53" s="48"/>
      <c r="P53" s="49"/>
    </row>
    <row r="54" spans="1:16" x14ac:dyDescent="0.2">
      <c r="A54" s="38">
        <f>IF(COUNTBLANK(B54)=1," ",COUNTA(B$16:B54))</f>
        <v>39</v>
      </c>
      <c r="B54" s="39" t="s">
        <v>65</v>
      </c>
      <c r="C54" s="116" t="s">
        <v>287</v>
      </c>
      <c r="D54" s="109" t="s">
        <v>307</v>
      </c>
      <c r="E54" s="69">
        <v>1</v>
      </c>
      <c r="F54" s="70"/>
      <c r="G54" s="67"/>
      <c r="H54" s="48"/>
      <c r="I54" s="67"/>
      <c r="J54" s="67"/>
      <c r="K54" s="49"/>
      <c r="L54" s="50"/>
      <c r="M54" s="48"/>
      <c r="N54" s="48"/>
      <c r="O54" s="48"/>
      <c r="P54" s="49"/>
    </row>
    <row r="55" spans="1:16" x14ac:dyDescent="0.2">
      <c r="A55" s="38">
        <f>IF(COUNTBLANK(B55)=1," ",COUNTA(B$16:B55))</f>
        <v>40</v>
      </c>
      <c r="B55" s="39" t="s">
        <v>65</v>
      </c>
      <c r="C55" s="116" t="s">
        <v>308</v>
      </c>
      <c r="D55" s="109" t="s">
        <v>70</v>
      </c>
      <c r="E55" s="69">
        <v>10</v>
      </c>
      <c r="F55" s="70"/>
      <c r="G55" s="67"/>
      <c r="H55" s="48"/>
      <c r="I55" s="67"/>
      <c r="J55" s="67"/>
      <c r="K55" s="49"/>
      <c r="L55" s="50"/>
      <c r="M55" s="48"/>
      <c r="N55" s="48"/>
      <c r="O55" s="48"/>
      <c r="P55" s="49"/>
    </row>
    <row r="56" spans="1:16" ht="33.75" x14ac:dyDescent="0.2">
      <c r="A56" s="38">
        <f>IF(COUNTBLANK(B56)=1," ",COUNTA(B$16:B56))</f>
        <v>41</v>
      </c>
      <c r="B56" s="39" t="s">
        <v>65</v>
      </c>
      <c r="C56" s="444" t="s">
        <v>517</v>
      </c>
      <c r="D56" s="109" t="s">
        <v>307</v>
      </c>
      <c r="E56" s="69">
        <v>2</v>
      </c>
      <c r="F56" s="70"/>
      <c r="G56" s="67"/>
      <c r="H56" s="48"/>
      <c r="I56" s="67"/>
      <c r="J56" s="67"/>
      <c r="K56" s="49"/>
      <c r="L56" s="50"/>
      <c r="M56" s="48"/>
      <c r="N56" s="48"/>
      <c r="O56" s="48"/>
      <c r="P56" s="49"/>
    </row>
    <row r="57" spans="1:16" ht="33.75" x14ac:dyDescent="0.2">
      <c r="A57" s="38">
        <f>IF(COUNTBLANK(B57)=1," ",COUNTA(B$16:B57))</f>
        <v>42</v>
      </c>
      <c r="B57" s="39" t="s">
        <v>65</v>
      </c>
      <c r="C57" s="328" t="s">
        <v>516</v>
      </c>
      <c r="D57" s="109" t="s">
        <v>70</v>
      </c>
      <c r="E57" s="69">
        <v>2</v>
      </c>
      <c r="F57" s="70"/>
      <c r="G57" s="67"/>
      <c r="H57" s="48"/>
      <c r="I57" s="67"/>
      <c r="J57" s="67"/>
      <c r="K57" s="49"/>
      <c r="L57" s="50"/>
      <c r="M57" s="48"/>
      <c r="N57" s="48"/>
      <c r="O57" s="48"/>
      <c r="P57" s="49"/>
    </row>
    <row r="58" spans="1:16" x14ac:dyDescent="0.2">
      <c r="A58" s="38">
        <f>IF(COUNTBLANK(B58)=1," ",COUNTA(B$16:B58))</f>
        <v>43</v>
      </c>
      <c r="B58" s="39" t="s">
        <v>65</v>
      </c>
      <c r="C58" s="116" t="s">
        <v>331</v>
      </c>
      <c r="D58" s="109" t="s">
        <v>307</v>
      </c>
      <c r="E58" s="69">
        <v>1</v>
      </c>
      <c r="F58" s="70"/>
      <c r="G58" s="67"/>
      <c r="H58" s="48"/>
      <c r="I58" s="67"/>
      <c r="J58" s="67"/>
      <c r="K58" s="49"/>
      <c r="L58" s="50"/>
      <c r="M58" s="48"/>
      <c r="N58" s="48"/>
      <c r="O58" s="48"/>
      <c r="P58" s="49"/>
    </row>
    <row r="59" spans="1:16" ht="22.5" x14ac:dyDescent="0.2">
      <c r="A59" s="38">
        <f>IF(COUNTBLANK(B59)=1," ",COUNTA(B$16:B59))</f>
        <v>44</v>
      </c>
      <c r="B59" s="39" t="s">
        <v>65</v>
      </c>
      <c r="C59" s="116" t="s">
        <v>311</v>
      </c>
      <c r="D59" s="109" t="s">
        <v>307</v>
      </c>
      <c r="E59" s="69">
        <v>1</v>
      </c>
      <c r="F59" s="70"/>
      <c r="G59" s="67"/>
      <c r="H59" s="48"/>
      <c r="I59" s="67"/>
      <c r="J59" s="67"/>
      <c r="K59" s="49"/>
      <c r="L59" s="50"/>
      <c r="M59" s="48"/>
      <c r="N59" s="48"/>
      <c r="O59" s="48"/>
      <c r="P59" s="49"/>
    </row>
    <row r="60" spans="1:16" ht="22.5" x14ac:dyDescent="0.2">
      <c r="A60" s="38" t="str">
        <f>IF(COUNTBLANK(B60)=1," ",COUNTA(B$16:B60))</f>
        <v xml:space="preserve"> </v>
      </c>
      <c r="B60" s="109"/>
      <c r="C60" s="110" t="s">
        <v>354</v>
      </c>
      <c r="D60" s="111"/>
      <c r="E60" s="69"/>
      <c r="F60" s="70"/>
      <c r="G60" s="67"/>
      <c r="H60" s="48"/>
      <c r="I60" s="67"/>
      <c r="J60" s="67"/>
      <c r="K60" s="49"/>
      <c r="L60" s="50"/>
      <c r="M60" s="48"/>
      <c r="N60" s="48"/>
      <c r="O60" s="48"/>
      <c r="P60" s="49"/>
    </row>
    <row r="61" spans="1:16" ht="22.5" x14ac:dyDescent="0.2">
      <c r="A61" s="38">
        <f>IF(COUNTBLANK(B61)=1," ",COUNTA(B$16:B61))</f>
        <v>45</v>
      </c>
      <c r="B61" s="39" t="s">
        <v>65</v>
      </c>
      <c r="C61" s="107" t="s">
        <v>483</v>
      </c>
      <c r="D61" s="111" t="s">
        <v>307</v>
      </c>
      <c r="E61" s="69">
        <v>30</v>
      </c>
      <c r="F61" s="70"/>
      <c r="G61" s="67"/>
      <c r="H61" s="48"/>
      <c r="I61" s="67"/>
      <c r="J61" s="67"/>
      <c r="K61" s="49"/>
      <c r="L61" s="50"/>
      <c r="M61" s="48"/>
      <c r="N61" s="48"/>
      <c r="O61" s="48"/>
      <c r="P61" s="49"/>
    </row>
    <row r="62" spans="1:16" ht="22.5" x14ac:dyDescent="0.2">
      <c r="A62" s="38">
        <f>IF(COUNTBLANK(B62)=1," ",COUNTA(B$16:B62))</f>
        <v>46</v>
      </c>
      <c r="B62" s="39" t="s">
        <v>65</v>
      </c>
      <c r="C62" s="107" t="s">
        <v>484</v>
      </c>
      <c r="D62" s="109" t="s">
        <v>70</v>
      </c>
      <c r="E62" s="69">
        <v>30</v>
      </c>
      <c r="F62" s="70"/>
      <c r="G62" s="67"/>
      <c r="H62" s="48"/>
      <c r="I62" s="67"/>
      <c r="J62" s="67"/>
      <c r="K62" s="49"/>
      <c r="L62" s="50"/>
      <c r="M62" s="48"/>
      <c r="N62" s="48"/>
      <c r="O62" s="48"/>
      <c r="P62" s="49"/>
    </row>
    <row r="63" spans="1:16" ht="22.5" x14ac:dyDescent="0.2">
      <c r="A63" s="38">
        <f>IF(COUNTBLANK(B63)=1," ",COUNTA(B$16:B63))</f>
        <v>47</v>
      </c>
      <c r="B63" s="39" t="s">
        <v>65</v>
      </c>
      <c r="C63" s="443" t="s">
        <v>518</v>
      </c>
      <c r="D63" s="109" t="s">
        <v>67</v>
      </c>
      <c r="E63" s="69">
        <v>360</v>
      </c>
      <c r="F63" s="70"/>
      <c r="G63" s="67"/>
      <c r="H63" s="48"/>
      <c r="I63" s="67"/>
      <c r="J63" s="67"/>
      <c r="K63" s="49"/>
      <c r="L63" s="50"/>
      <c r="M63" s="48"/>
      <c r="N63" s="48"/>
      <c r="O63" s="48"/>
      <c r="P63" s="49"/>
    </row>
    <row r="64" spans="1:16" x14ac:dyDescent="0.2">
      <c r="A64" s="38">
        <f>IF(COUNTBLANK(B64)=1," ",COUNTA(B$16:B64))</f>
        <v>48</v>
      </c>
      <c r="B64" s="39" t="s">
        <v>65</v>
      </c>
      <c r="C64" s="118" t="s">
        <v>312</v>
      </c>
      <c r="D64" s="109" t="s">
        <v>70</v>
      </c>
      <c r="E64" s="69">
        <v>252</v>
      </c>
      <c r="F64" s="70"/>
      <c r="G64" s="67"/>
      <c r="H64" s="48"/>
      <c r="I64" s="67"/>
      <c r="J64" s="67"/>
      <c r="K64" s="49"/>
      <c r="L64" s="50"/>
      <c r="M64" s="48"/>
      <c r="N64" s="48"/>
      <c r="O64" s="48"/>
      <c r="P64" s="49"/>
    </row>
    <row r="65" spans="1:16" x14ac:dyDescent="0.2">
      <c r="A65" s="38">
        <f>IF(COUNTBLANK(B65)=1," ",COUNTA(B$16:B65))</f>
        <v>49</v>
      </c>
      <c r="B65" s="39" t="s">
        <v>65</v>
      </c>
      <c r="C65" s="118" t="s">
        <v>332</v>
      </c>
      <c r="D65" s="109" t="s">
        <v>70</v>
      </c>
      <c r="E65" s="69">
        <v>36</v>
      </c>
      <c r="F65" s="70"/>
      <c r="G65" s="67"/>
      <c r="H65" s="48"/>
      <c r="I65" s="67"/>
      <c r="J65" s="67"/>
      <c r="K65" s="49"/>
      <c r="L65" s="50"/>
      <c r="M65" s="48"/>
      <c r="N65" s="48"/>
      <c r="O65" s="48"/>
      <c r="P65" s="49"/>
    </row>
    <row r="66" spans="1:16" x14ac:dyDescent="0.2">
      <c r="A66" s="38">
        <f>IF(COUNTBLANK(B66)=1," ",COUNTA(B$16:B66))</f>
        <v>50</v>
      </c>
      <c r="B66" s="39" t="s">
        <v>65</v>
      </c>
      <c r="C66" s="118" t="s">
        <v>333</v>
      </c>
      <c r="D66" s="119" t="s">
        <v>70</v>
      </c>
      <c r="E66" s="69">
        <v>12</v>
      </c>
      <c r="F66" s="70"/>
      <c r="G66" s="67"/>
      <c r="H66" s="48"/>
      <c r="I66" s="67"/>
      <c r="J66" s="67"/>
      <c r="K66" s="49"/>
      <c r="L66" s="50"/>
      <c r="M66" s="48"/>
      <c r="N66" s="48"/>
      <c r="O66" s="48"/>
      <c r="P66" s="49"/>
    </row>
    <row r="67" spans="1:16" ht="22.5" x14ac:dyDescent="0.2">
      <c r="A67" s="38">
        <f>IF(COUNTBLANK(B67)=1," ",COUNTA(B$16:B67))</f>
        <v>51</v>
      </c>
      <c r="B67" s="39" t="s">
        <v>65</v>
      </c>
      <c r="C67" s="118" t="s">
        <v>353</v>
      </c>
      <c r="D67" s="109" t="s">
        <v>67</v>
      </c>
      <c r="E67" s="69">
        <v>96</v>
      </c>
      <c r="F67" s="70"/>
      <c r="G67" s="67"/>
      <c r="H67" s="48"/>
      <c r="I67" s="67"/>
      <c r="J67" s="67"/>
      <c r="K67" s="49"/>
      <c r="L67" s="50"/>
      <c r="M67" s="48"/>
      <c r="N67" s="48"/>
      <c r="O67" s="48"/>
      <c r="P67" s="49"/>
    </row>
    <row r="68" spans="1:16" ht="33.75" x14ac:dyDescent="0.2">
      <c r="A68" s="38">
        <f>IF(COUNTBLANK(B68)=1," ",COUNTA(B$16:B68))</f>
        <v>52</v>
      </c>
      <c r="B68" s="39" t="s">
        <v>65</v>
      </c>
      <c r="C68" s="118" t="s">
        <v>334</v>
      </c>
      <c r="D68" s="109" t="s">
        <v>70</v>
      </c>
      <c r="E68" s="69">
        <v>72</v>
      </c>
      <c r="F68" s="70"/>
      <c r="G68" s="67"/>
      <c r="H68" s="48"/>
      <c r="I68" s="67"/>
      <c r="J68" s="67"/>
      <c r="K68" s="49"/>
      <c r="L68" s="50"/>
      <c r="M68" s="48"/>
      <c r="N68" s="48"/>
      <c r="O68" s="48"/>
      <c r="P68" s="49"/>
    </row>
    <row r="69" spans="1:16" ht="22.5" x14ac:dyDescent="0.2">
      <c r="A69" s="38">
        <f>IF(COUNTBLANK(B69)=1," ",COUNTA(B$16:B69))</f>
        <v>53</v>
      </c>
      <c r="B69" s="39" t="s">
        <v>65</v>
      </c>
      <c r="C69" s="118" t="s">
        <v>305</v>
      </c>
      <c r="D69" s="109" t="s">
        <v>83</v>
      </c>
      <c r="E69" s="69">
        <v>3</v>
      </c>
      <c r="F69" s="70"/>
      <c r="G69" s="67"/>
      <c r="H69" s="48"/>
      <c r="I69" s="67"/>
      <c r="J69" s="67"/>
      <c r="K69" s="49"/>
      <c r="L69" s="50"/>
      <c r="M69" s="48"/>
      <c r="N69" s="48"/>
      <c r="O69" s="48"/>
      <c r="P69" s="49"/>
    </row>
    <row r="70" spans="1:16" ht="22.5" x14ac:dyDescent="0.2">
      <c r="A70" s="38">
        <f>IF(COUNTBLANK(B70)=1," ",COUNTA(B$16:B70))</f>
        <v>54</v>
      </c>
      <c r="B70" s="39" t="s">
        <v>65</v>
      </c>
      <c r="C70" s="118" t="s">
        <v>306</v>
      </c>
      <c r="D70" s="109" t="s">
        <v>307</v>
      </c>
      <c r="E70" s="69">
        <v>6</v>
      </c>
      <c r="F70" s="70"/>
      <c r="G70" s="67"/>
      <c r="H70" s="48"/>
      <c r="I70" s="67"/>
      <c r="J70" s="67"/>
      <c r="K70" s="49"/>
      <c r="L70" s="50"/>
      <c r="M70" s="48"/>
      <c r="N70" s="48"/>
      <c r="O70" s="48"/>
      <c r="P70" s="49"/>
    </row>
    <row r="71" spans="1:16" x14ac:dyDescent="0.2">
      <c r="A71" s="38">
        <f>IF(COUNTBLANK(B71)=1," ",COUNTA(B$16:B71))</f>
        <v>55</v>
      </c>
      <c r="B71" s="39" t="s">
        <v>65</v>
      </c>
      <c r="C71" s="118" t="s">
        <v>314</v>
      </c>
      <c r="D71" s="109" t="s">
        <v>307</v>
      </c>
      <c r="E71" s="69">
        <v>6</v>
      </c>
      <c r="F71" s="70"/>
      <c r="G71" s="67"/>
      <c r="H71" s="48"/>
      <c r="I71" s="67"/>
      <c r="J71" s="67"/>
      <c r="K71" s="49"/>
      <c r="L71" s="50"/>
      <c r="M71" s="48"/>
      <c r="N71" s="48"/>
      <c r="O71" s="48"/>
      <c r="P71" s="49"/>
    </row>
    <row r="72" spans="1:16" ht="22.5" x14ac:dyDescent="0.2">
      <c r="A72" s="38">
        <f>IF(COUNTBLANK(B72)=1," ",COUNTA(B$16:B72))</f>
        <v>56</v>
      </c>
      <c r="B72" s="39" t="s">
        <v>65</v>
      </c>
      <c r="C72" s="118" t="s">
        <v>335</v>
      </c>
      <c r="D72" s="109" t="s">
        <v>67</v>
      </c>
      <c r="E72" s="69">
        <v>27</v>
      </c>
      <c r="F72" s="70"/>
      <c r="G72" s="67"/>
      <c r="H72" s="48"/>
      <c r="I72" s="67"/>
      <c r="J72" s="67"/>
      <c r="K72" s="49"/>
      <c r="L72" s="50"/>
      <c r="M72" s="48"/>
      <c r="N72" s="48"/>
      <c r="O72" s="48"/>
      <c r="P72" s="49"/>
    </row>
    <row r="73" spans="1:16" x14ac:dyDescent="0.2">
      <c r="A73" s="38">
        <f>IF(COUNTBLANK(B73)=1," ",COUNTA(B$16:B73))</f>
        <v>57</v>
      </c>
      <c r="B73" s="39" t="s">
        <v>65</v>
      </c>
      <c r="C73" s="118" t="s">
        <v>315</v>
      </c>
      <c r="D73" s="109" t="s">
        <v>70</v>
      </c>
      <c r="E73" s="69">
        <v>12</v>
      </c>
      <c r="F73" s="70"/>
      <c r="G73" s="67"/>
      <c r="H73" s="48"/>
      <c r="I73" s="67"/>
      <c r="J73" s="67"/>
      <c r="K73" s="49"/>
      <c r="L73" s="50"/>
      <c r="M73" s="48"/>
      <c r="N73" s="48"/>
      <c r="O73" s="48"/>
      <c r="P73" s="49"/>
    </row>
    <row r="74" spans="1:16" ht="22.5" x14ac:dyDescent="0.2">
      <c r="A74" s="38">
        <f>IF(COUNTBLANK(B74)=1," ",COUNTA(B$16:B74))</f>
        <v>58</v>
      </c>
      <c r="B74" s="39" t="s">
        <v>65</v>
      </c>
      <c r="C74" s="118" t="s">
        <v>311</v>
      </c>
      <c r="D74" s="109" t="s">
        <v>307</v>
      </c>
      <c r="E74" s="69">
        <v>6</v>
      </c>
      <c r="F74" s="70"/>
      <c r="G74" s="67"/>
      <c r="H74" s="48"/>
      <c r="I74" s="67"/>
      <c r="J74" s="67"/>
      <c r="K74" s="49"/>
      <c r="L74" s="50"/>
      <c r="M74" s="48"/>
      <c r="N74" s="48"/>
      <c r="O74" s="48"/>
      <c r="P74" s="49"/>
    </row>
    <row r="75" spans="1:16" ht="33.75" x14ac:dyDescent="0.2">
      <c r="A75" s="38" t="str">
        <f>IF(COUNTBLANK(B75)=1," ",COUNTA(B$16:B75))</f>
        <v xml:space="preserve"> </v>
      </c>
      <c r="B75" s="109"/>
      <c r="C75" s="110" t="s">
        <v>355</v>
      </c>
      <c r="D75" s="111"/>
      <c r="E75" s="69"/>
      <c r="F75" s="70"/>
      <c r="G75" s="67"/>
      <c r="H75" s="48"/>
      <c r="I75" s="67"/>
      <c r="J75" s="67"/>
      <c r="K75" s="49"/>
      <c r="L75" s="50"/>
      <c r="M75" s="48"/>
      <c r="N75" s="48"/>
      <c r="O75" s="48"/>
      <c r="P75" s="49"/>
    </row>
    <row r="76" spans="1:16" ht="22.5" x14ac:dyDescent="0.2">
      <c r="A76" s="38">
        <f>IF(COUNTBLANK(B76)=1," ",COUNTA(B$16:B76))</f>
        <v>59</v>
      </c>
      <c r="B76" s="39" t="s">
        <v>65</v>
      </c>
      <c r="C76" s="107" t="s">
        <v>483</v>
      </c>
      <c r="D76" s="111" t="s">
        <v>307</v>
      </c>
      <c r="E76" s="69">
        <v>64</v>
      </c>
      <c r="F76" s="70"/>
      <c r="G76" s="67"/>
      <c r="H76" s="48"/>
      <c r="I76" s="67"/>
      <c r="J76" s="67"/>
      <c r="K76" s="49"/>
      <c r="L76" s="50"/>
      <c r="M76" s="48"/>
      <c r="N76" s="48"/>
      <c r="O76" s="48"/>
      <c r="P76" s="49"/>
    </row>
    <row r="77" spans="1:16" ht="22.5" x14ac:dyDescent="0.2">
      <c r="A77" s="38">
        <f>IF(COUNTBLANK(B77)=1," ",COUNTA(B$16:B77))</f>
        <v>60</v>
      </c>
      <c r="B77" s="39" t="s">
        <v>65</v>
      </c>
      <c r="C77" s="107" t="s">
        <v>484</v>
      </c>
      <c r="D77" s="109" t="s">
        <v>70</v>
      </c>
      <c r="E77" s="69">
        <v>64</v>
      </c>
      <c r="F77" s="70"/>
      <c r="G77" s="67"/>
      <c r="H77" s="48"/>
      <c r="I77" s="67"/>
      <c r="J77" s="67"/>
      <c r="K77" s="49"/>
      <c r="L77" s="50"/>
      <c r="M77" s="48"/>
      <c r="N77" s="48"/>
      <c r="O77" s="48"/>
      <c r="P77" s="49"/>
    </row>
    <row r="78" spans="1:16" ht="22.5" x14ac:dyDescent="0.2">
      <c r="A78" s="38">
        <f>IF(COUNTBLANK(B78)=1," ",COUNTA(B$16:B78))</f>
        <v>61</v>
      </c>
      <c r="B78" s="39" t="s">
        <v>65</v>
      </c>
      <c r="C78" s="443" t="s">
        <v>519</v>
      </c>
      <c r="D78" s="109" t="s">
        <v>67</v>
      </c>
      <c r="E78" s="69">
        <v>960</v>
      </c>
      <c r="F78" s="70"/>
      <c r="G78" s="67"/>
      <c r="H78" s="48"/>
      <c r="I78" s="67"/>
      <c r="J78" s="67"/>
      <c r="K78" s="49"/>
      <c r="L78" s="50"/>
      <c r="M78" s="48"/>
      <c r="N78" s="48"/>
      <c r="O78" s="48"/>
      <c r="P78" s="49"/>
    </row>
    <row r="79" spans="1:16" x14ac:dyDescent="0.2">
      <c r="A79" s="38">
        <f>IF(COUNTBLANK(B79)=1," ",COUNTA(B$16:B79))</f>
        <v>62</v>
      </c>
      <c r="B79" s="39" t="s">
        <v>65</v>
      </c>
      <c r="C79" s="441" t="s">
        <v>520</v>
      </c>
      <c r="D79" s="109" t="s">
        <v>70</v>
      </c>
      <c r="E79" s="69">
        <v>576</v>
      </c>
      <c r="F79" s="70"/>
      <c r="G79" s="67"/>
      <c r="H79" s="48"/>
      <c r="I79" s="67"/>
      <c r="J79" s="67"/>
      <c r="K79" s="49"/>
      <c r="L79" s="50"/>
      <c r="M79" s="48"/>
      <c r="N79" s="48"/>
      <c r="O79" s="48"/>
      <c r="P79" s="49"/>
    </row>
    <row r="80" spans="1:16" x14ac:dyDescent="0.2">
      <c r="A80" s="38">
        <f>IF(COUNTBLANK(B80)=1," ",COUNTA(B$16:B80))</f>
        <v>63</v>
      </c>
      <c r="B80" s="39" t="s">
        <v>65</v>
      </c>
      <c r="C80" s="442" t="s">
        <v>332</v>
      </c>
      <c r="D80" s="109" t="s">
        <v>70</v>
      </c>
      <c r="E80" s="69">
        <v>96</v>
      </c>
      <c r="F80" s="70"/>
      <c r="G80" s="67"/>
      <c r="H80" s="48"/>
      <c r="I80" s="67"/>
      <c r="J80" s="67"/>
      <c r="K80" s="49"/>
      <c r="L80" s="50"/>
      <c r="M80" s="48"/>
      <c r="N80" s="48"/>
      <c r="O80" s="48"/>
      <c r="P80" s="49"/>
    </row>
    <row r="81" spans="1:16" x14ac:dyDescent="0.2">
      <c r="A81" s="38">
        <f>IF(COUNTBLANK(B81)=1," ",COUNTA(B$16:B81))</f>
        <v>64</v>
      </c>
      <c r="B81" s="39" t="s">
        <v>65</v>
      </c>
      <c r="C81" s="118" t="s">
        <v>333</v>
      </c>
      <c r="D81" s="119" t="s">
        <v>70</v>
      </c>
      <c r="E81" s="69">
        <v>32</v>
      </c>
      <c r="F81" s="70"/>
      <c r="G81" s="67"/>
      <c r="H81" s="48"/>
      <c r="I81" s="67"/>
      <c r="J81" s="67"/>
      <c r="K81" s="49"/>
      <c r="L81" s="50"/>
      <c r="M81" s="48"/>
      <c r="N81" s="48"/>
      <c r="O81" s="48"/>
      <c r="P81" s="49"/>
    </row>
    <row r="82" spans="1:16" x14ac:dyDescent="0.2">
      <c r="A82" s="38">
        <f>IF(COUNTBLANK(B82)=1," ",COUNTA(B$16:B82))</f>
        <v>65</v>
      </c>
      <c r="B82" s="39" t="s">
        <v>65</v>
      </c>
      <c r="C82" s="118" t="s">
        <v>336</v>
      </c>
      <c r="D82" s="109" t="s">
        <v>70</v>
      </c>
      <c r="E82" s="69">
        <v>32</v>
      </c>
      <c r="F82" s="70"/>
      <c r="G82" s="67"/>
      <c r="H82" s="48"/>
      <c r="I82" s="67"/>
      <c r="J82" s="67"/>
      <c r="K82" s="49"/>
      <c r="L82" s="50"/>
      <c r="M82" s="48"/>
      <c r="N82" s="48"/>
      <c r="O82" s="48"/>
      <c r="P82" s="49"/>
    </row>
    <row r="83" spans="1:16" ht="33.75" x14ac:dyDescent="0.2">
      <c r="A83" s="38">
        <f>IF(COUNTBLANK(B83)=1," ",COUNTA(B$16:B83))</f>
        <v>66</v>
      </c>
      <c r="B83" s="39" t="s">
        <v>65</v>
      </c>
      <c r="C83" s="118" t="s">
        <v>337</v>
      </c>
      <c r="D83" s="109" t="s">
        <v>70</v>
      </c>
      <c r="E83" s="69">
        <v>192</v>
      </c>
      <c r="F83" s="70"/>
      <c r="G83" s="67"/>
      <c r="H83" s="48"/>
      <c r="I83" s="67"/>
      <c r="J83" s="67"/>
      <c r="K83" s="49"/>
      <c r="L83" s="50"/>
      <c r="M83" s="48"/>
      <c r="N83" s="48"/>
      <c r="O83" s="48"/>
      <c r="P83" s="49"/>
    </row>
    <row r="84" spans="1:16" ht="22.5" x14ac:dyDescent="0.2">
      <c r="A84" s="38">
        <f>IF(COUNTBLANK(B84)=1," ",COUNTA(B$16:B84))</f>
        <v>67</v>
      </c>
      <c r="B84" s="39" t="s">
        <v>65</v>
      </c>
      <c r="C84" s="118" t="s">
        <v>305</v>
      </c>
      <c r="D84" s="109" t="s">
        <v>83</v>
      </c>
      <c r="E84" s="69">
        <v>8</v>
      </c>
      <c r="F84" s="70"/>
      <c r="G84" s="67"/>
      <c r="H84" s="48"/>
      <c r="I84" s="67"/>
      <c r="J84" s="67"/>
      <c r="K84" s="49"/>
      <c r="L84" s="50"/>
      <c r="M84" s="48"/>
      <c r="N84" s="48"/>
      <c r="O84" s="48"/>
      <c r="P84" s="49"/>
    </row>
    <row r="85" spans="1:16" ht="22.5" x14ac:dyDescent="0.2">
      <c r="A85" s="38">
        <f>IF(COUNTBLANK(B85)=1," ",COUNTA(B$16:B85))</f>
        <v>68</v>
      </c>
      <c r="B85" s="39" t="s">
        <v>65</v>
      </c>
      <c r="C85" s="118" t="s">
        <v>306</v>
      </c>
      <c r="D85" s="109" t="s">
        <v>307</v>
      </c>
      <c r="E85" s="69">
        <v>16</v>
      </c>
      <c r="F85" s="70"/>
      <c r="G85" s="67"/>
      <c r="H85" s="48"/>
      <c r="I85" s="67"/>
      <c r="J85" s="67"/>
      <c r="K85" s="49"/>
      <c r="L85" s="50"/>
      <c r="M85" s="48"/>
      <c r="N85" s="48"/>
      <c r="O85" s="48"/>
      <c r="P85" s="49"/>
    </row>
    <row r="86" spans="1:16" x14ac:dyDescent="0.2">
      <c r="A86" s="38">
        <f>IF(COUNTBLANK(B86)=1," ",COUNTA(B$16:B86))</f>
        <v>69</v>
      </c>
      <c r="B86" s="39" t="s">
        <v>65</v>
      </c>
      <c r="C86" s="118" t="s">
        <v>314</v>
      </c>
      <c r="D86" s="109" t="s">
        <v>307</v>
      </c>
      <c r="E86" s="69">
        <v>16</v>
      </c>
      <c r="F86" s="70"/>
      <c r="G86" s="67"/>
      <c r="H86" s="48"/>
      <c r="I86" s="67"/>
      <c r="J86" s="67"/>
      <c r="K86" s="49"/>
      <c r="L86" s="50"/>
      <c r="M86" s="48"/>
      <c r="N86" s="48"/>
      <c r="O86" s="48"/>
      <c r="P86" s="49"/>
    </row>
    <row r="87" spans="1:16" ht="22.5" x14ac:dyDescent="0.2">
      <c r="A87" s="38">
        <f>IF(COUNTBLANK(B87)=1," ",COUNTA(B$16:B87))</f>
        <v>70</v>
      </c>
      <c r="B87" s="39" t="s">
        <v>65</v>
      </c>
      <c r="C87" s="118" t="s">
        <v>335</v>
      </c>
      <c r="D87" s="109" t="s">
        <v>67</v>
      </c>
      <c r="E87" s="69">
        <v>48</v>
      </c>
      <c r="F87" s="70"/>
      <c r="G87" s="67"/>
      <c r="H87" s="48"/>
      <c r="I87" s="67"/>
      <c r="J87" s="67"/>
      <c r="K87" s="49"/>
      <c r="L87" s="50"/>
      <c r="M87" s="48"/>
      <c r="N87" s="48"/>
      <c r="O87" s="48"/>
      <c r="P87" s="49"/>
    </row>
    <row r="88" spans="1:16" ht="22.5" x14ac:dyDescent="0.2">
      <c r="A88" s="38">
        <f>IF(COUNTBLANK(B88)=1," ",COUNTA(B$16:B88))</f>
        <v>71</v>
      </c>
      <c r="B88" s="39" t="s">
        <v>65</v>
      </c>
      <c r="C88" s="118" t="s">
        <v>311</v>
      </c>
      <c r="D88" s="109" t="s">
        <v>307</v>
      </c>
      <c r="E88" s="69">
        <v>16</v>
      </c>
      <c r="F88" s="70"/>
      <c r="G88" s="67"/>
      <c r="H88" s="48"/>
      <c r="I88" s="67"/>
      <c r="J88" s="67"/>
      <c r="K88" s="49"/>
      <c r="L88" s="50"/>
      <c r="M88" s="48"/>
      <c r="N88" s="48"/>
      <c r="O88" s="48"/>
      <c r="P88" s="49"/>
    </row>
    <row r="89" spans="1:16" ht="22.5" x14ac:dyDescent="0.2">
      <c r="A89" s="38" t="str">
        <f>IF(COUNTBLANK(B89)=1," ",COUNTA(B$16:B89))</f>
        <v xml:space="preserve"> </v>
      </c>
      <c r="B89" s="109"/>
      <c r="C89" s="110" t="s">
        <v>356</v>
      </c>
      <c r="D89" s="111"/>
      <c r="E89" s="69"/>
      <c r="F89" s="70"/>
      <c r="G89" s="67"/>
      <c r="H89" s="48"/>
      <c r="I89" s="67"/>
      <c r="J89" s="67"/>
      <c r="K89" s="49"/>
      <c r="L89" s="50"/>
      <c r="M89" s="48"/>
      <c r="N89" s="48"/>
      <c r="O89" s="48"/>
      <c r="P89" s="49"/>
    </row>
    <row r="90" spans="1:16" ht="22.5" x14ac:dyDescent="0.2">
      <c r="A90" s="38">
        <f>IF(COUNTBLANK(B90)=1," ",COUNTA(B$16:B90))</f>
        <v>72</v>
      </c>
      <c r="B90" s="39" t="s">
        <v>65</v>
      </c>
      <c r="C90" s="107" t="s">
        <v>483</v>
      </c>
      <c r="D90" s="111" t="s">
        <v>307</v>
      </c>
      <c r="E90" s="69">
        <v>16</v>
      </c>
      <c r="F90" s="70"/>
      <c r="G90" s="67"/>
      <c r="H90" s="48"/>
      <c r="I90" s="67"/>
      <c r="J90" s="67"/>
      <c r="K90" s="49"/>
      <c r="L90" s="50"/>
      <c r="M90" s="48"/>
      <c r="N90" s="48"/>
      <c r="O90" s="48"/>
      <c r="P90" s="49"/>
    </row>
    <row r="91" spans="1:16" ht="22.5" x14ac:dyDescent="0.2">
      <c r="A91" s="38">
        <f>IF(COUNTBLANK(B91)=1," ",COUNTA(B$16:B91))</f>
        <v>73</v>
      </c>
      <c r="B91" s="39" t="s">
        <v>65</v>
      </c>
      <c r="C91" s="107" t="s">
        <v>484</v>
      </c>
      <c r="D91" s="109" t="s">
        <v>70</v>
      </c>
      <c r="E91" s="69">
        <v>16</v>
      </c>
      <c r="F91" s="70"/>
      <c r="G91" s="67"/>
      <c r="H91" s="48"/>
      <c r="I91" s="67"/>
      <c r="J91" s="67"/>
      <c r="K91" s="49"/>
      <c r="L91" s="50"/>
      <c r="M91" s="48"/>
      <c r="N91" s="48"/>
      <c r="O91" s="48"/>
      <c r="P91" s="49"/>
    </row>
    <row r="92" spans="1:16" ht="22.5" x14ac:dyDescent="0.2">
      <c r="A92" s="38">
        <f>IF(COUNTBLANK(B92)=1," ",COUNTA(B$16:B92))</f>
        <v>74</v>
      </c>
      <c r="B92" s="39" t="s">
        <v>65</v>
      </c>
      <c r="C92" s="443" t="s">
        <v>519</v>
      </c>
      <c r="D92" s="109" t="s">
        <v>67</v>
      </c>
      <c r="E92" s="69">
        <v>208</v>
      </c>
      <c r="F92" s="70"/>
      <c r="G92" s="67"/>
      <c r="H92" s="48"/>
      <c r="I92" s="67"/>
      <c r="J92" s="67"/>
      <c r="K92" s="49"/>
      <c r="L92" s="50"/>
      <c r="M92" s="48"/>
      <c r="N92" s="48"/>
      <c r="O92" s="48"/>
      <c r="P92" s="49"/>
    </row>
    <row r="93" spans="1:16" x14ac:dyDescent="0.2">
      <c r="A93" s="38">
        <f>IF(COUNTBLANK(B93)=1," ",COUNTA(B$16:B93))</f>
        <v>75</v>
      </c>
      <c r="B93" s="39" t="s">
        <v>65</v>
      </c>
      <c r="C93" s="118" t="s">
        <v>312</v>
      </c>
      <c r="D93" s="109" t="s">
        <v>70</v>
      </c>
      <c r="E93" s="69">
        <v>96</v>
      </c>
      <c r="F93" s="70"/>
      <c r="G93" s="67"/>
      <c r="H93" s="48"/>
      <c r="I93" s="67"/>
      <c r="J93" s="67"/>
      <c r="K93" s="49"/>
      <c r="L93" s="50"/>
      <c r="M93" s="48"/>
      <c r="N93" s="48"/>
      <c r="O93" s="48"/>
      <c r="P93" s="49"/>
    </row>
    <row r="94" spans="1:16" x14ac:dyDescent="0.2">
      <c r="A94" s="38">
        <f>IF(COUNTBLANK(B94)=1," ",COUNTA(B$16:B94))</f>
        <v>76</v>
      </c>
      <c r="B94" s="39" t="s">
        <v>65</v>
      </c>
      <c r="C94" s="118" t="s">
        <v>332</v>
      </c>
      <c r="D94" s="109" t="s">
        <v>70</v>
      </c>
      <c r="E94" s="69">
        <v>24</v>
      </c>
      <c r="F94" s="70"/>
      <c r="G94" s="67"/>
      <c r="H94" s="48"/>
      <c r="I94" s="67"/>
      <c r="J94" s="67"/>
      <c r="K94" s="49"/>
      <c r="L94" s="50"/>
      <c r="M94" s="48"/>
      <c r="N94" s="48"/>
      <c r="O94" s="48"/>
      <c r="P94" s="49"/>
    </row>
    <row r="95" spans="1:16" x14ac:dyDescent="0.2">
      <c r="A95" s="38">
        <f>IF(COUNTBLANK(B95)=1," ",COUNTA(B$16:B95))</f>
        <v>77</v>
      </c>
      <c r="B95" s="39" t="s">
        <v>65</v>
      </c>
      <c r="C95" s="118" t="s">
        <v>333</v>
      </c>
      <c r="D95" s="119" t="s">
        <v>70</v>
      </c>
      <c r="E95" s="69">
        <v>8</v>
      </c>
      <c r="F95" s="70"/>
      <c r="G95" s="67"/>
      <c r="H95" s="48"/>
      <c r="I95" s="67"/>
      <c r="J95" s="67"/>
      <c r="K95" s="49"/>
      <c r="L95" s="50"/>
      <c r="M95" s="48"/>
      <c r="N95" s="48"/>
      <c r="O95" s="48"/>
      <c r="P95" s="49"/>
    </row>
    <row r="96" spans="1:16" x14ac:dyDescent="0.2">
      <c r="A96" s="38">
        <f>IF(COUNTBLANK(B96)=1," ",COUNTA(B$16:B96))</f>
        <v>78</v>
      </c>
      <c r="B96" s="39" t="s">
        <v>65</v>
      </c>
      <c r="C96" s="118" t="s">
        <v>336</v>
      </c>
      <c r="D96" s="109" t="s">
        <v>70</v>
      </c>
      <c r="E96" s="69">
        <v>8</v>
      </c>
      <c r="F96" s="70"/>
      <c r="G96" s="67"/>
      <c r="H96" s="48"/>
      <c r="I96" s="67"/>
      <c r="J96" s="67"/>
      <c r="K96" s="49"/>
      <c r="L96" s="50"/>
      <c r="M96" s="48"/>
      <c r="N96" s="48"/>
      <c r="O96" s="48"/>
      <c r="P96" s="49"/>
    </row>
    <row r="97" spans="1:16" ht="22.5" x14ac:dyDescent="0.2">
      <c r="A97" s="38">
        <f>IF(COUNTBLANK(B97)=1," ",COUNTA(B$16:B97))</f>
        <v>79</v>
      </c>
      <c r="B97" s="39" t="s">
        <v>65</v>
      </c>
      <c r="C97" s="118" t="s">
        <v>338</v>
      </c>
      <c r="D97" s="109" t="s">
        <v>67</v>
      </c>
      <c r="E97" s="69">
        <v>16</v>
      </c>
      <c r="F97" s="70"/>
      <c r="G97" s="67"/>
      <c r="H97" s="48"/>
      <c r="I97" s="67"/>
      <c r="J97" s="67"/>
      <c r="K97" s="49"/>
      <c r="L97" s="50"/>
      <c r="M97" s="48"/>
      <c r="N97" s="48"/>
      <c r="O97" s="48"/>
      <c r="P97" s="49"/>
    </row>
    <row r="98" spans="1:16" ht="33.75" x14ac:dyDescent="0.2">
      <c r="A98" s="38">
        <f>IF(COUNTBLANK(B98)=1," ",COUNTA(B$16:B98))</f>
        <v>80</v>
      </c>
      <c r="B98" s="39" t="s">
        <v>65</v>
      </c>
      <c r="C98" s="118" t="s">
        <v>334</v>
      </c>
      <c r="D98" s="109" t="s">
        <v>70</v>
      </c>
      <c r="E98" s="69">
        <v>40</v>
      </c>
      <c r="F98" s="70"/>
      <c r="G98" s="67"/>
      <c r="H98" s="48"/>
      <c r="I98" s="67"/>
      <c r="J98" s="67"/>
      <c r="K98" s="49"/>
      <c r="L98" s="50"/>
      <c r="M98" s="48"/>
      <c r="N98" s="48"/>
      <c r="O98" s="48"/>
      <c r="P98" s="49"/>
    </row>
    <row r="99" spans="1:16" ht="22.5" x14ac:dyDescent="0.2">
      <c r="A99" s="38">
        <f>IF(COUNTBLANK(B99)=1," ",COUNTA(B$16:B99))</f>
        <v>81</v>
      </c>
      <c r="B99" s="39" t="s">
        <v>65</v>
      </c>
      <c r="C99" s="118" t="s">
        <v>305</v>
      </c>
      <c r="D99" s="109" t="s">
        <v>83</v>
      </c>
      <c r="E99" s="69">
        <v>2</v>
      </c>
      <c r="F99" s="70"/>
      <c r="G99" s="67"/>
      <c r="H99" s="48"/>
      <c r="I99" s="67"/>
      <c r="J99" s="67"/>
      <c r="K99" s="49"/>
      <c r="L99" s="50"/>
      <c r="M99" s="48"/>
      <c r="N99" s="48"/>
      <c r="O99" s="48"/>
      <c r="P99" s="49"/>
    </row>
    <row r="100" spans="1:16" ht="22.5" x14ac:dyDescent="0.2">
      <c r="A100" s="38">
        <f>IF(COUNTBLANK(B100)=1," ",COUNTA(B$16:B100))</f>
        <v>82</v>
      </c>
      <c r="B100" s="39" t="s">
        <v>65</v>
      </c>
      <c r="C100" s="118" t="s">
        <v>306</v>
      </c>
      <c r="D100" s="109" t="s">
        <v>307</v>
      </c>
      <c r="E100" s="69">
        <v>4</v>
      </c>
      <c r="F100" s="70"/>
      <c r="G100" s="67"/>
      <c r="H100" s="48"/>
      <c r="I100" s="67"/>
      <c r="J100" s="67"/>
      <c r="K100" s="49"/>
      <c r="L100" s="50"/>
      <c r="M100" s="48"/>
      <c r="N100" s="48"/>
      <c r="O100" s="48"/>
      <c r="P100" s="49"/>
    </row>
    <row r="101" spans="1:16" x14ac:dyDescent="0.2">
      <c r="A101" s="38">
        <f>IF(COUNTBLANK(B101)=1," ",COUNTA(B$16:B101))</f>
        <v>83</v>
      </c>
      <c r="B101" s="39" t="s">
        <v>65</v>
      </c>
      <c r="C101" s="118" t="s">
        <v>314</v>
      </c>
      <c r="D101" s="109" t="s">
        <v>307</v>
      </c>
      <c r="E101" s="69">
        <v>4</v>
      </c>
      <c r="F101" s="70"/>
      <c r="G101" s="67"/>
      <c r="H101" s="48"/>
      <c r="I101" s="67"/>
      <c r="J101" s="67"/>
      <c r="K101" s="49"/>
      <c r="L101" s="50"/>
      <c r="M101" s="48"/>
      <c r="N101" s="48"/>
      <c r="O101" s="48"/>
      <c r="P101" s="49"/>
    </row>
    <row r="102" spans="1:16" ht="22.5" x14ac:dyDescent="0.2">
      <c r="A102" s="38">
        <f>IF(COUNTBLANK(B102)=1," ",COUNTA(B$16:B102))</f>
        <v>84</v>
      </c>
      <c r="B102" s="39" t="s">
        <v>65</v>
      </c>
      <c r="C102" s="118" t="s">
        <v>335</v>
      </c>
      <c r="D102" s="109" t="s">
        <v>67</v>
      </c>
      <c r="E102" s="69">
        <v>8</v>
      </c>
      <c r="F102" s="70"/>
      <c r="G102" s="67"/>
      <c r="H102" s="48"/>
      <c r="I102" s="67"/>
      <c r="J102" s="67"/>
      <c r="K102" s="49"/>
      <c r="L102" s="50"/>
      <c r="M102" s="48"/>
      <c r="N102" s="48"/>
      <c r="O102" s="48"/>
      <c r="P102" s="49"/>
    </row>
    <row r="103" spans="1:16" ht="22.5" x14ac:dyDescent="0.2">
      <c r="A103" s="38">
        <f>IF(COUNTBLANK(B103)=1," ",COUNTA(B$16:B103))</f>
        <v>85</v>
      </c>
      <c r="B103" s="39" t="s">
        <v>65</v>
      </c>
      <c r="C103" s="118" t="s">
        <v>311</v>
      </c>
      <c r="D103" s="109" t="s">
        <v>307</v>
      </c>
      <c r="E103" s="69">
        <v>4</v>
      </c>
      <c r="F103" s="70"/>
      <c r="G103" s="67"/>
      <c r="H103" s="48"/>
      <c r="I103" s="67"/>
      <c r="J103" s="67"/>
      <c r="K103" s="49"/>
      <c r="L103" s="50"/>
      <c r="M103" s="48"/>
      <c r="N103" s="48"/>
      <c r="O103" s="48"/>
      <c r="P103" s="49"/>
    </row>
    <row r="104" spans="1:16" ht="22.5" x14ac:dyDescent="0.2">
      <c r="A104" s="38" t="str">
        <f>IF(COUNTBLANK(B104)=1," ",COUNTA(B$16:B104))</f>
        <v xml:space="preserve"> </v>
      </c>
      <c r="B104" s="109"/>
      <c r="C104" s="110" t="s">
        <v>357</v>
      </c>
      <c r="D104" s="111"/>
      <c r="E104" s="69"/>
      <c r="F104" s="70"/>
      <c r="G104" s="67"/>
      <c r="H104" s="48"/>
      <c r="I104" s="67"/>
      <c r="J104" s="67"/>
      <c r="K104" s="49"/>
      <c r="L104" s="50"/>
      <c r="M104" s="48"/>
      <c r="N104" s="48"/>
      <c r="O104" s="48"/>
      <c r="P104" s="49"/>
    </row>
    <row r="105" spans="1:16" ht="22.5" x14ac:dyDescent="0.2">
      <c r="A105" s="38">
        <f>IF(COUNTBLANK(B105)=1," ",COUNTA(B$16:B105))</f>
        <v>86</v>
      </c>
      <c r="B105" s="39" t="s">
        <v>65</v>
      </c>
      <c r="C105" s="107" t="s">
        <v>483</v>
      </c>
      <c r="D105" s="111" t="s">
        <v>307</v>
      </c>
      <c r="E105" s="69">
        <v>42</v>
      </c>
      <c r="F105" s="70"/>
      <c r="G105" s="67"/>
      <c r="H105" s="48"/>
      <c r="I105" s="67"/>
      <c r="J105" s="67"/>
      <c r="K105" s="49"/>
      <c r="L105" s="50"/>
      <c r="M105" s="48"/>
      <c r="N105" s="48"/>
      <c r="O105" s="48"/>
      <c r="P105" s="49"/>
    </row>
    <row r="106" spans="1:16" ht="22.5" x14ac:dyDescent="0.2">
      <c r="A106" s="38">
        <f>IF(COUNTBLANK(B106)=1," ",COUNTA(B$16:B106))</f>
        <v>87</v>
      </c>
      <c r="B106" s="39" t="s">
        <v>65</v>
      </c>
      <c r="C106" s="107" t="s">
        <v>484</v>
      </c>
      <c r="D106" s="109" t="s">
        <v>70</v>
      </c>
      <c r="E106" s="69">
        <v>42</v>
      </c>
      <c r="F106" s="70"/>
      <c r="G106" s="67"/>
      <c r="H106" s="48"/>
      <c r="I106" s="67"/>
      <c r="J106" s="67"/>
      <c r="K106" s="49"/>
      <c r="L106" s="50"/>
      <c r="M106" s="48"/>
      <c r="N106" s="48"/>
      <c r="O106" s="48"/>
      <c r="P106" s="49"/>
    </row>
    <row r="107" spans="1:16" ht="22.5" x14ac:dyDescent="0.2">
      <c r="A107" s="38">
        <f>IF(COUNTBLANK(B107)=1," ",COUNTA(B$16:B107))</f>
        <v>88</v>
      </c>
      <c r="B107" s="39" t="s">
        <v>65</v>
      </c>
      <c r="C107" s="443" t="s">
        <v>519</v>
      </c>
      <c r="D107" s="109" t="s">
        <v>67</v>
      </c>
      <c r="E107" s="69">
        <v>672</v>
      </c>
      <c r="F107" s="70"/>
      <c r="G107" s="67"/>
      <c r="H107" s="48"/>
      <c r="I107" s="67"/>
      <c r="J107" s="67"/>
      <c r="K107" s="49"/>
      <c r="L107" s="50"/>
      <c r="M107" s="48"/>
      <c r="N107" s="48"/>
      <c r="O107" s="48"/>
      <c r="P107" s="49"/>
    </row>
    <row r="108" spans="1:16" x14ac:dyDescent="0.2">
      <c r="A108" s="38">
        <f>IF(COUNTBLANK(B108)=1," ",COUNTA(B$16:B108))</f>
        <v>89</v>
      </c>
      <c r="B108" s="39" t="s">
        <v>65</v>
      </c>
      <c r="C108" s="118" t="s">
        <v>312</v>
      </c>
      <c r="D108" s="109" t="s">
        <v>70</v>
      </c>
      <c r="E108" s="69">
        <v>280</v>
      </c>
      <c r="F108" s="70"/>
      <c r="G108" s="67"/>
      <c r="H108" s="48"/>
      <c r="I108" s="67"/>
      <c r="J108" s="67"/>
      <c r="K108" s="49"/>
      <c r="L108" s="50"/>
      <c r="M108" s="48"/>
      <c r="N108" s="48"/>
      <c r="O108" s="48"/>
      <c r="P108" s="49"/>
    </row>
    <row r="109" spans="1:16" x14ac:dyDescent="0.2">
      <c r="A109" s="38">
        <f>IF(COUNTBLANK(B109)=1," ",COUNTA(B$16:B109))</f>
        <v>90</v>
      </c>
      <c r="B109" s="39" t="s">
        <v>65</v>
      </c>
      <c r="C109" s="118" t="s">
        <v>332</v>
      </c>
      <c r="D109" s="109" t="s">
        <v>70</v>
      </c>
      <c r="E109" s="69">
        <v>70</v>
      </c>
      <c r="F109" s="70"/>
      <c r="G109" s="67"/>
      <c r="H109" s="48"/>
      <c r="I109" s="67"/>
      <c r="J109" s="67"/>
      <c r="K109" s="49"/>
      <c r="L109" s="50"/>
      <c r="M109" s="48"/>
      <c r="N109" s="48"/>
      <c r="O109" s="48"/>
      <c r="P109" s="49"/>
    </row>
    <row r="110" spans="1:16" x14ac:dyDescent="0.2">
      <c r="A110" s="38">
        <f>IF(COUNTBLANK(B110)=1," ",COUNTA(B$16:B110))</f>
        <v>91</v>
      </c>
      <c r="B110" s="39" t="s">
        <v>65</v>
      </c>
      <c r="C110" s="118" t="s">
        <v>333</v>
      </c>
      <c r="D110" s="119" t="s">
        <v>70</v>
      </c>
      <c r="E110" s="69">
        <v>14</v>
      </c>
      <c r="F110" s="70"/>
      <c r="G110" s="67"/>
      <c r="H110" s="48"/>
      <c r="I110" s="67"/>
      <c r="J110" s="67"/>
      <c r="K110" s="49"/>
      <c r="L110" s="50"/>
      <c r="M110" s="48"/>
      <c r="N110" s="48"/>
      <c r="O110" s="48"/>
      <c r="P110" s="49"/>
    </row>
    <row r="111" spans="1:16" x14ac:dyDescent="0.2">
      <c r="A111" s="38">
        <f>IF(COUNTBLANK(B111)=1," ",COUNTA(B$16:B111))</f>
        <v>92</v>
      </c>
      <c r="B111" s="39" t="s">
        <v>65</v>
      </c>
      <c r="C111" s="118" t="s">
        <v>336</v>
      </c>
      <c r="D111" s="109" t="s">
        <v>70</v>
      </c>
      <c r="E111" s="69">
        <v>28</v>
      </c>
      <c r="F111" s="70"/>
      <c r="G111" s="67"/>
      <c r="H111" s="48"/>
      <c r="I111" s="67"/>
      <c r="J111" s="67"/>
      <c r="K111" s="49"/>
      <c r="L111" s="50"/>
      <c r="M111" s="48"/>
      <c r="N111" s="48"/>
      <c r="O111" s="48"/>
      <c r="P111" s="49"/>
    </row>
    <row r="112" spans="1:16" ht="33.75" x14ac:dyDescent="0.2">
      <c r="A112" s="38">
        <f>IF(COUNTBLANK(B112)=1," ",COUNTA(B$16:B112))</f>
        <v>93</v>
      </c>
      <c r="B112" s="39" t="s">
        <v>65</v>
      </c>
      <c r="C112" s="118" t="s">
        <v>334</v>
      </c>
      <c r="D112" s="109" t="s">
        <v>70</v>
      </c>
      <c r="E112" s="69">
        <v>140</v>
      </c>
      <c r="F112" s="70"/>
      <c r="G112" s="67"/>
      <c r="H112" s="48"/>
      <c r="I112" s="67"/>
      <c r="J112" s="67"/>
      <c r="K112" s="49"/>
      <c r="L112" s="50"/>
      <c r="M112" s="48"/>
      <c r="N112" s="48"/>
      <c r="O112" s="48"/>
      <c r="P112" s="49"/>
    </row>
    <row r="113" spans="1:16" ht="22.5" x14ac:dyDescent="0.2">
      <c r="A113" s="38">
        <f>IF(COUNTBLANK(B113)=1," ",COUNTA(B$16:B113))</f>
        <v>94</v>
      </c>
      <c r="B113" s="39" t="s">
        <v>65</v>
      </c>
      <c r="C113" s="118" t="s">
        <v>305</v>
      </c>
      <c r="D113" s="109" t="s">
        <v>83</v>
      </c>
      <c r="E113" s="69">
        <v>7</v>
      </c>
      <c r="F113" s="70"/>
      <c r="G113" s="67"/>
      <c r="H113" s="48"/>
      <c r="I113" s="67"/>
      <c r="J113" s="67"/>
      <c r="K113" s="49"/>
      <c r="L113" s="50"/>
      <c r="M113" s="48"/>
      <c r="N113" s="48"/>
      <c r="O113" s="48"/>
      <c r="P113" s="49"/>
    </row>
    <row r="114" spans="1:16" ht="22.5" x14ac:dyDescent="0.2">
      <c r="A114" s="38">
        <f>IF(COUNTBLANK(B114)=1," ",COUNTA(B$16:B114))</f>
        <v>95</v>
      </c>
      <c r="B114" s="39" t="s">
        <v>65</v>
      </c>
      <c r="C114" s="118" t="s">
        <v>306</v>
      </c>
      <c r="D114" s="109" t="s">
        <v>307</v>
      </c>
      <c r="E114" s="69">
        <v>14</v>
      </c>
      <c r="F114" s="70"/>
      <c r="G114" s="67"/>
      <c r="H114" s="48"/>
      <c r="I114" s="67"/>
      <c r="J114" s="67"/>
      <c r="K114" s="49"/>
      <c r="L114" s="50"/>
      <c r="M114" s="48"/>
      <c r="N114" s="48"/>
      <c r="O114" s="48"/>
      <c r="P114" s="49"/>
    </row>
    <row r="115" spans="1:16" x14ac:dyDescent="0.2">
      <c r="A115" s="38">
        <f>IF(COUNTBLANK(B115)=1," ",COUNTA(B$16:B115))</f>
        <v>96</v>
      </c>
      <c r="B115" s="39" t="s">
        <v>65</v>
      </c>
      <c r="C115" s="118" t="s">
        <v>314</v>
      </c>
      <c r="D115" s="109" t="s">
        <v>307</v>
      </c>
      <c r="E115" s="69">
        <v>14</v>
      </c>
      <c r="F115" s="70"/>
      <c r="G115" s="67"/>
      <c r="H115" s="48"/>
      <c r="I115" s="67"/>
      <c r="J115" s="67"/>
      <c r="K115" s="49"/>
      <c r="L115" s="50"/>
      <c r="M115" s="48"/>
      <c r="N115" s="48"/>
      <c r="O115" s="48"/>
      <c r="P115" s="49"/>
    </row>
    <row r="116" spans="1:16" ht="22.5" x14ac:dyDescent="0.2">
      <c r="A116" s="38">
        <f>IF(COUNTBLANK(B116)=1," ",COUNTA(B$16:B116))</f>
        <v>97</v>
      </c>
      <c r="B116" s="39" t="s">
        <v>65</v>
      </c>
      <c r="C116" s="118" t="s">
        <v>335</v>
      </c>
      <c r="D116" s="109" t="s">
        <v>67</v>
      </c>
      <c r="E116" s="69">
        <v>210</v>
      </c>
      <c r="F116" s="70"/>
      <c r="G116" s="67"/>
      <c r="H116" s="48"/>
      <c r="I116" s="67"/>
      <c r="J116" s="67"/>
      <c r="K116" s="49"/>
      <c r="L116" s="50"/>
      <c r="M116" s="48"/>
      <c r="N116" s="48"/>
      <c r="O116" s="48"/>
      <c r="P116" s="49"/>
    </row>
    <row r="117" spans="1:16" ht="22.5" x14ac:dyDescent="0.2">
      <c r="A117" s="38">
        <f>IF(COUNTBLANK(B117)=1," ",COUNTA(B$16:B117))</f>
        <v>98</v>
      </c>
      <c r="B117" s="39" t="s">
        <v>65</v>
      </c>
      <c r="C117" s="118" t="s">
        <v>311</v>
      </c>
      <c r="D117" s="109" t="s">
        <v>307</v>
      </c>
      <c r="E117" s="69">
        <v>14</v>
      </c>
      <c r="F117" s="70"/>
      <c r="G117" s="67"/>
      <c r="H117" s="48"/>
      <c r="I117" s="67"/>
      <c r="J117" s="67"/>
      <c r="K117" s="49"/>
      <c r="L117" s="50"/>
      <c r="M117" s="48"/>
      <c r="N117" s="48"/>
      <c r="O117" s="48"/>
      <c r="P117" s="49"/>
    </row>
    <row r="118" spans="1:16" ht="33.75" x14ac:dyDescent="0.2">
      <c r="A118" s="38" t="str">
        <f>IF(COUNTBLANK(B118)=1," ",COUNTA(B$16:B118))</f>
        <v xml:space="preserve"> </v>
      </c>
      <c r="B118" s="109"/>
      <c r="C118" s="110" t="s">
        <v>358</v>
      </c>
      <c r="D118" s="111"/>
      <c r="E118" s="69"/>
      <c r="F118" s="70"/>
      <c r="G118" s="67"/>
      <c r="H118" s="48"/>
      <c r="I118" s="67"/>
      <c r="J118" s="67"/>
      <c r="K118" s="49"/>
      <c r="L118" s="50"/>
      <c r="M118" s="48"/>
      <c r="N118" s="48"/>
      <c r="O118" s="48"/>
      <c r="P118" s="49"/>
    </row>
    <row r="119" spans="1:16" ht="22.5" x14ac:dyDescent="0.2">
      <c r="A119" s="38">
        <f>IF(COUNTBLANK(B119)=1," ",COUNTA(B$16:B119))</f>
        <v>99</v>
      </c>
      <c r="B119" s="39" t="s">
        <v>65</v>
      </c>
      <c r="C119" s="107" t="s">
        <v>483</v>
      </c>
      <c r="D119" s="111" t="s">
        <v>307</v>
      </c>
      <c r="E119" s="69">
        <v>32</v>
      </c>
      <c r="F119" s="70"/>
      <c r="G119" s="67"/>
      <c r="H119" s="48"/>
      <c r="I119" s="67"/>
      <c r="J119" s="67"/>
      <c r="K119" s="49"/>
      <c r="L119" s="50"/>
      <c r="M119" s="48"/>
      <c r="N119" s="48"/>
      <c r="O119" s="48"/>
      <c r="P119" s="49"/>
    </row>
    <row r="120" spans="1:16" ht="22.5" x14ac:dyDescent="0.2">
      <c r="A120" s="38">
        <f>IF(COUNTBLANK(B120)=1," ",COUNTA(B$16:B120))</f>
        <v>100</v>
      </c>
      <c r="B120" s="39" t="s">
        <v>65</v>
      </c>
      <c r="C120" s="107" t="s">
        <v>484</v>
      </c>
      <c r="D120" s="109" t="s">
        <v>70</v>
      </c>
      <c r="E120" s="69">
        <v>32</v>
      </c>
      <c r="F120" s="70"/>
      <c r="G120" s="67"/>
      <c r="H120" s="48"/>
      <c r="I120" s="67"/>
      <c r="J120" s="67"/>
      <c r="K120" s="49"/>
      <c r="L120" s="50"/>
      <c r="M120" s="48"/>
      <c r="N120" s="48"/>
      <c r="O120" s="48"/>
      <c r="P120" s="49"/>
    </row>
    <row r="121" spans="1:16" ht="22.5" x14ac:dyDescent="0.2">
      <c r="A121" s="38">
        <f>IF(COUNTBLANK(B121)=1," ",COUNTA(B$16:B121))</f>
        <v>101</v>
      </c>
      <c r="B121" s="39" t="s">
        <v>65</v>
      </c>
      <c r="C121" s="443" t="s">
        <v>519</v>
      </c>
      <c r="D121" s="109" t="s">
        <v>67</v>
      </c>
      <c r="E121" s="69">
        <v>800</v>
      </c>
      <c r="F121" s="70"/>
      <c r="G121" s="67"/>
      <c r="H121" s="48"/>
      <c r="I121" s="67"/>
      <c r="J121" s="67"/>
      <c r="K121" s="49"/>
      <c r="L121" s="50"/>
      <c r="M121" s="48"/>
      <c r="N121" s="48"/>
      <c r="O121" s="48"/>
      <c r="P121" s="49"/>
    </row>
    <row r="122" spans="1:16" x14ac:dyDescent="0.2">
      <c r="A122" s="38">
        <f>IF(COUNTBLANK(B122)=1," ",COUNTA(B$16:B122))</f>
        <v>102</v>
      </c>
      <c r="B122" s="39" t="s">
        <v>65</v>
      </c>
      <c r="C122" s="116" t="s">
        <v>339</v>
      </c>
      <c r="D122" s="109" t="s">
        <v>70</v>
      </c>
      <c r="E122" s="69">
        <v>32</v>
      </c>
      <c r="F122" s="70"/>
      <c r="G122" s="67"/>
      <c r="H122" s="48"/>
      <c r="I122" s="67"/>
      <c r="J122" s="67"/>
      <c r="K122" s="49"/>
      <c r="L122" s="50"/>
      <c r="M122" s="48"/>
      <c r="N122" s="48"/>
      <c r="O122" s="48"/>
      <c r="P122" s="49"/>
    </row>
    <row r="123" spans="1:16" x14ac:dyDescent="0.2">
      <c r="A123" s="38">
        <f>IF(COUNTBLANK(B123)=1," ",COUNTA(B$16:B123))</f>
        <v>103</v>
      </c>
      <c r="B123" s="39" t="s">
        <v>65</v>
      </c>
      <c r="C123" s="329" t="s">
        <v>520</v>
      </c>
      <c r="D123" s="109" t="s">
        <v>70</v>
      </c>
      <c r="E123" s="69">
        <v>320</v>
      </c>
      <c r="F123" s="70"/>
      <c r="G123" s="67"/>
      <c r="H123" s="48"/>
      <c r="I123" s="67"/>
      <c r="J123" s="67"/>
      <c r="K123" s="49"/>
      <c r="L123" s="50"/>
      <c r="M123" s="48"/>
      <c r="N123" s="48"/>
      <c r="O123" s="48"/>
      <c r="P123" s="49"/>
    </row>
    <row r="124" spans="1:16" x14ac:dyDescent="0.2">
      <c r="A124" s="38">
        <f>IF(COUNTBLANK(B124)=1," ",COUNTA(B$16:B124))</f>
        <v>104</v>
      </c>
      <c r="B124" s="39" t="s">
        <v>65</v>
      </c>
      <c r="C124" s="329" t="s">
        <v>521</v>
      </c>
      <c r="D124" s="109" t="s">
        <v>70</v>
      </c>
      <c r="E124" s="69">
        <v>80</v>
      </c>
      <c r="F124" s="70"/>
      <c r="G124" s="67"/>
      <c r="H124" s="48"/>
      <c r="I124" s="67"/>
      <c r="J124" s="67"/>
      <c r="K124" s="49"/>
      <c r="L124" s="50"/>
      <c r="M124" s="48"/>
      <c r="N124" s="48"/>
      <c r="O124" s="48"/>
      <c r="P124" s="49"/>
    </row>
    <row r="125" spans="1:16" x14ac:dyDescent="0.2">
      <c r="A125" s="38">
        <f>IF(COUNTBLANK(B125)=1," ",COUNTA(B$16:B125))</f>
        <v>105</v>
      </c>
      <c r="B125" s="39" t="s">
        <v>65</v>
      </c>
      <c r="C125" s="116" t="s">
        <v>333</v>
      </c>
      <c r="D125" s="109" t="s">
        <v>70</v>
      </c>
      <c r="E125" s="69">
        <v>16</v>
      </c>
      <c r="F125" s="70"/>
      <c r="G125" s="67"/>
      <c r="H125" s="48"/>
      <c r="I125" s="67"/>
      <c r="J125" s="67"/>
      <c r="K125" s="49"/>
      <c r="L125" s="50"/>
      <c r="M125" s="48"/>
      <c r="N125" s="48"/>
      <c r="O125" s="48"/>
      <c r="P125" s="49"/>
    </row>
    <row r="126" spans="1:16" ht="33.75" x14ac:dyDescent="0.2">
      <c r="A126" s="38">
        <f>IF(COUNTBLANK(B126)=1," ",COUNTA(B$16:B126))</f>
        <v>106</v>
      </c>
      <c r="B126" s="39" t="s">
        <v>65</v>
      </c>
      <c r="C126" s="116" t="s">
        <v>334</v>
      </c>
      <c r="D126" s="109" t="s">
        <v>70</v>
      </c>
      <c r="E126" s="69">
        <v>160</v>
      </c>
      <c r="F126" s="70"/>
      <c r="G126" s="67"/>
      <c r="H126" s="48"/>
      <c r="I126" s="67"/>
      <c r="J126" s="67"/>
      <c r="K126" s="49"/>
      <c r="L126" s="50"/>
      <c r="M126" s="48"/>
      <c r="N126" s="48"/>
      <c r="O126" s="48"/>
      <c r="P126" s="49"/>
    </row>
    <row r="127" spans="1:16" ht="22.5" x14ac:dyDescent="0.2">
      <c r="A127" s="38">
        <f>IF(COUNTBLANK(B127)=1," ",COUNTA(B$16:B127))</f>
        <v>107</v>
      </c>
      <c r="B127" s="39" t="s">
        <v>65</v>
      </c>
      <c r="C127" s="116" t="s">
        <v>305</v>
      </c>
      <c r="D127" s="109" t="s">
        <v>83</v>
      </c>
      <c r="E127" s="69">
        <v>8</v>
      </c>
      <c r="F127" s="70"/>
      <c r="G127" s="67"/>
      <c r="H127" s="48"/>
      <c r="I127" s="67"/>
      <c r="J127" s="67"/>
      <c r="K127" s="49"/>
      <c r="L127" s="50"/>
      <c r="M127" s="48"/>
      <c r="N127" s="48"/>
      <c r="O127" s="48"/>
      <c r="P127" s="49"/>
    </row>
    <row r="128" spans="1:16" ht="22.5" x14ac:dyDescent="0.2">
      <c r="A128" s="38">
        <f>IF(COUNTBLANK(B128)=1," ",COUNTA(B$16:B128))</f>
        <v>108</v>
      </c>
      <c r="B128" s="39" t="s">
        <v>65</v>
      </c>
      <c r="C128" s="116" t="s">
        <v>306</v>
      </c>
      <c r="D128" s="109" t="s">
        <v>307</v>
      </c>
      <c r="E128" s="69">
        <v>16</v>
      </c>
      <c r="F128" s="70"/>
      <c r="G128" s="67"/>
      <c r="H128" s="48"/>
      <c r="I128" s="67"/>
      <c r="J128" s="67"/>
      <c r="K128" s="49"/>
      <c r="L128" s="50"/>
      <c r="M128" s="48"/>
      <c r="N128" s="48"/>
      <c r="O128" s="48"/>
      <c r="P128" s="49"/>
    </row>
    <row r="129" spans="1:16" x14ac:dyDescent="0.2">
      <c r="A129" s="38">
        <f>IF(COUNTBLANK(B129)=1," ",COUNTA(B$16:B129))</f>
        <v>109</v>
      </c>
      <c r="B129" s="39" t="s">
        <v>65</v>
      </c>
      <c r="C129" s="116" t="s">
        <v>314</v>
      </c>
      <c r="D129" s="109" t="s">
        <v>307</v>
      </c>
      <c r="E129" s="69">
        <v>16</v>
      </c>
      <c r="F129" s="70"/>
      <c r="G129" s="67"/>
      <c r="H129" s="48"/>
      <c r="I129" s="67"/>
      <c r="J129" s="67"/>
      <c r="K129" s="49"/>
      <c r="L129" s="50"/>
      <c r="M129" s="48"/>
      <c r="N129" s="48"/>
      <c r="O129" s="48"/>
      <c r="P129" s="49"/>
    </row>
    <row r="130" spans="1:16" ht="22.5" x14ac:dyDescent="0.2">
      <c r="A130" s="38">
        <f>IF(COUNTBLANK(B130)=1," ",COUNTA(B$16:B130))</f>
        <v>110</v>
      </c>
      <c r="B130" s="39" t="s">
        <v>65</v>
      </c>
      <c r="C130" s="116" t="s">
        <v>335</v>
      </c>
      <c r="D130" s="109" t="s">
        <v>67</v>
      </c>
      <c r="E130" s="69">
        <v>240</v>
      </c>
      <c r="F130" s="70"/>
      <c r="G130" s="67"/>
      <c r="H130" s="48"/>
      <c r="I130" s="67"/>
      <c r="J130" s="67"/>
      <c r="K130" s="49"/>
      <c r="L130" s="50"/>
      <c r="M130" s="48"/>
      <c r="N130" s="48"/>
      <c r="O130" s="48"/>
      <c r="P130" s="49"/>
    </row>
    <row r="131" spans="1:16" ht="22.5" x14ac:dyDescent="0.2">
      <c r="A131" s="38">
        <f>IF(COUNTBLANK(B131)=1," ",COUNTA(B$16:B131))</f>
        <v>111</v>
      </c>
      <c r="B131" s="39" t="s">
        <v>65</v>
      </c>
      <c r="C131" s="116" t="s">
        <v>311</v>
      </c>
      <c r="D131" s="109" t="s">
        <v>307</v>
      </c>
      <c r="E131" s="69">
        <v>16</v>
      </c>
      <c r="F131" s="70"/>
      <c r="G131" s="67"/>
      <c r="H131" s="48"/>
      <c r="I131" s="67"/>
      <c r="J131" s="67"/>
      <c r="K131" s="49"/>
      <c r="L131" s="50"/>
      <c r="M131" s="48"/>
      <c r="N131" s="48"/>
      <c r="O131" s="48"/>
      <c r="P131" s="49"/>
    </row>
    <row r="132" spans="1:16" ht="22.5" x14ac:dyDescent="0.2">
      <c r="A132" s="38" t="str">
        <f>IF(COUNTBLANK(B132)=1," ",COUNTA(B$16:B132))</f>
        <v xml:space="preserve"> </v>
      </c>
      <c r="B132" s="117"/>
      <c r="C132" s="120" t="s">
        <v>340</v>
      </c>
      <c r="D132" s="108"/>
      <c r="E132" s="69"/>
      <c r="F132" s="70"/>
      <c r="G132" s="67"/>
      <c r="H132" s="48"/>
      <c r="I132" s="67"/>
      <c r="J132" s="67"/>
      <c r="K132" s="49"/>
      <c r="L132" s="50"/>
      <c r="M132" s="48"/>
      <c r="N132" s="48"/>
      <c r="O132" s="48"/>
      <c r="P132" s="49"/>
    </row>
    <row r="133" spans="1:16" ht="112.5" x14ac:dyDescent="0.2">
      <c r="A133" s="38">
        <f>IF(COUNTBLANK(B133)=1," ",COUNTA(B$16:B133))</f>
        <v>112</v>
      </c>
      <c r="B133" s="39" t="s">
        <v>65</v>
      </c>
      <c r="C133" s="47" t="s">
        <v>480</v>
      </c>
      <c r="D133" s="112" t="s">
        <v>307</v>
      </c>
      <c r="E133" s="69">
        <v>56</v>
      </c>
      <c r="F133" s="70"/>
      <c r="G133" s="67"/>
      <c r="H133" s="48"/>
      <c r="I133" s="67"/>
      <c r="J133" s="67"/>
      <c r="K133" s="49"/>
      <c r="L133" s="50"/>
      <c r="M133" s="48"/>
      <c r="N133" s="48"/>
      <c r="O133" s="48"/>
      <c r="P133" s="49"/>
    </row>
    <row r="134" spans="1:16" x14ac:dyDescent="0.2">
      <c r="A134" s="38">
        <f>IF(COUNTBLANK(B134)=1," ",COUNTA(B$16:B134))</f>
        <v>113</v>
      </c>
      <c r="B134" s="39" t="s">
        <v>65</v>
      </c>
      <c r="C134" s="294" t="s">
        <v>485</v>
      </c>
      <c r="D134" s="112" t="s">
        <v>70</v>
      </c>
      <c r="E134" s="69">
        <v>56</v>
      </c>
      <c r="F134" s="70"/>
      <c r="G134" s="67"/>
      <c r="H134" s="48"/>
      <c r="I134" s="67"/>
      <c r="J134" s="67"/>
      <c r="K134" s="49"/>
      <c r="L134" s="50"/>
      <c r="M134" s="48"/>
      <c r="N134" s="48"/>
      <c r="O134" s="48"/>
      <c r="P134" s="49"/>
    </row>
    <row r="135" spans="1:16" x14ac:dyDescent="0.2">
      <c r="A135" s="38">
        <f>IF(COUNTBLANK(B135)=1," ",COUNTA(B$16:B135))</f>
        <v>114</v>
      </c>
      <c r="B135" s="39" t="s">
        <v>65</v>
      </c>
      <c r="C135" s="116" t="s">
        <v>341</v>
      </c>
      <c r="D135" s="112" t="s">
        <v>70</v>
      </c>
      <c r="E135" s="69">
        <v>112</v>
      </c>
      <c r="F135" s="70"/>
      <c r="G135" s="67"/>
      <c r="H135" s="48"/>
      <c r="I135" s="67"/>
      <c r="J135" s="67"/>
      <c r="K135" s="49"/>
      <c r="L135" s="50"/>
      <c r="M135" s="48"/>
      <c r="N135" s="48"/>
      <c r="O135" s="48"/>
      <c r="P135" s="49"/>
    </row>
    <row r="136" spans="1:16" x14ac:dyDescent="0.2">
      <c r="A136" s="38">
        <f>IF(COUNTBLANK(B136)=1," ",COUNTA(B$16:B136))</f>
        <v>115</v>
      </c>
      <c r="B136" s="39" t="s">
        <v>65</v>
      </c>
      <c r="C136" s="116" t="s">
        <v>342</v>
      </c>
      <c r="D136" s="112" t="s">
        <v>70</v>
      </c>
      <c r="E136" s="69">
        <v>56</v>
      </c>
      <c r="F136" s="70"/>
      <c r="G136" s="67"/>
      <c r="H136" s="48"/>
      <c r="I136" s="67"/>
      <c r="J136" s="67"/>
      <c r="K136" s="49"/>
      <c r="L136" s="50"/>
      <c r="M136" s="48"/>
      <c r="N136" s="48"/>
      <c r="O136" s="48"/>
      <c r="P136" s="49"/>
    </row>
    <row r="137" spans="1:16" ht="22.5" x14ac:dyDescent="0.2">
      <c r="A137" s="38">
        <f>IF(COUNTBLANK(B137)=1," ",COUNTA(B$16:B137))</f>
        <v>116</v>
      </c>
      <c r="B137" s="39" t="s">
        <v>65</v>
      </c>
      <c r="C137" s="116" t="s">
        <v>305</v>
      </c>
      <c r="D137" s="112" t="s">
        <v>83</v>
      </c>
      <c r="E137" s="69">
        <v>28</v>
      </c>
      <c r="F137" s="70"/>
      <c r="G137" s="67"/>
      <c r="H137" s="48"/>
      <c r="I137" s="67"/>
      <c r="J137" s="67"/>
      <c r="K137" s="49"/>
      <c r="L137" s="50"/>
      <c r="M137" s="48"/>
      <c r="N137" s="48"/>
      <c r="O137" s="48"/>
      <c r="P137" s="49"/>
    </row>
    <row r="138" spans="1:16" ht="22.5" x14ac:dyDescent="0.2">
      <c r="A138" s="38">
        <f>IF(COUNTBLANK(B138)=1," ",COUNTA(B$16:B138))</f>
        <v>117</v>
      </c>
      <c r="B138" s="39" t="s">
        <v>65</v>
      </c>
      <c r="C138" s="116" t="s">
        <v>306</v>
      </c>
      <c r="D138" s="112" t="s">
        <v>307</v>
      </c>
      <c r="E138" s="69">
        <v>56</v>
      </c>
      <c r="F138" s="70"/>
      <c r="G138" s="67"/>
      <c r="H138" s="48"/>
      <c r="I138" s="67"/>
      <c r="J138" s="67"/>
      <c r="K138" s="49"/>
      <c r="L138" s="50"/>
      <c r="M138" s="48"/>
      <c r="N138" s="48"/>
      <c r="O138" s="48"/>
      <c r="P138" s="49"/>
    </row>
    <row r="139" spans="1:16" x14ac:dyDescent="0.2">
      <c r="A139" s="38">
        <f>IF(COUNTBLANK(B139)=1," ",COUNTA(B$16:B139))</f>
        <v>118</v>
      </c>
      <c r="B139" s="39" t="s">
        <v>65</v>
      </c>
      <c r="C139" s="116" t="s">
        <v>314</v>
      </c>
      <c r="D139" s="112" t="s">
        <v>307</v>
      </c>
      <c r="E139" s="69">
        <v>56</v>
      </c>
      <c r="F139" s="70"/>
      <c r="G139" s="67"/>
      <c r="H139" s="48"/>
      <c r="I139" s="67"/>
      <c r="J139" s="67"/>
      <c r="K139" s="49"/>
      <c r="L139" s="50"/>
      <c r="M139" s="48"/>
      <c r="N139" s="48"/>
      <c r="O139" s="48"/>
      <c r="P139" s="49"/>
    </row>
    <row r="140" spans="1:16" ht="22.5" x14ac:dyDescent="0.2">
      <c r="A140" s="38">
        <f>IF(COUNTBLANK(B140)=1," ",COUNTA(B$16:B140))</f>
        <v>119</v>
      </c>
      <c r="B140" s="39" t="s">
        <v>65</v>
      </c>
      <c r="C140" s="116" t="s">
        <v>311</v>
      </c>
      <c r="D140" s="112" t="s">
        <v>307</v>
      </c>
      <c r="E140" s="69">
        <v>56</v>
      </c>
      <c r="F140" s="70"/>
      <c r="G140" s="67"/>
      <c r="H140" s="48"/>
      <c r="I140" s="67"/>
      <c r="J140" s="67"/>
      <c r="K140" s="49"/>
      <c r="L140" s="50"/>
      <c r="M140" s="48"/>
      <c r="N140" s="48"/>
      <c r="O140" s="48"/>
      <c r="P140" s="49"/>
    </row>
    <row r="141" spans="1:16" x14ac:dyDescent="0.2">
      <c r="A141" s="38" t="str">
        <f>IF(COUNTBLANK(B141)=1," ",COUNTA(B$16:B141))</f>
        <v xml:space="preserve"> </v>
      </c>
      <c r="B141" s="117"/>
      <c r="C141" s="110" t="s">
        <v>309</v>
      </c>
      <c r="D141" s="111"/>
      <c r="E141" s="69"/>
      <c r="F141" s="70"/>
      <c r="G141" s="67"/>
      <c r="H141" s="48"/>
      <c r="I141" s="67"/>
      <c r="J141" s="67"/>
      <c r="K141" s="49"/>
      <c r="L141" s="50"/>
      <c r="M141" s="48"/>
      <c r="N141" s="48"/>
      <c r="O141" s="48"/>
      <c r="P141" s="49"/>
    </row>
    <row r="142" spans="1:16" ht="22.5" x14ac:dyDescent="0.2">
      <c r="A142" s="38">
        <f>IF(COUNTBLANK(B142)=1," ",COUNTA(B$16:B142))</f>
        <v>120</v>
      </c>
      <c r="B142" s="39" t="s">
        <v>65</v>
      </c>
      <c r="C142" s="116" t="s">
        <v>343</v>
      </c>
      <c r="D142" s="111" t="s">
        <v>307</v>
      </c>
      <c r="E142" s="69">
        <v>56</v>
      </c>
      <c r="F142" s="70"/>
      <c r="G142" s="67"/>
      <c r="H142" s="48"/>
      <c r="I142" s="67"/>
      <c r="J142" s="67"/>
      <c r="K142" s="49"/>
      <c r="L142" s="50"/>
      <c r="M142" s="48"/>
      <c r="N142" s="48"/>
      <c r="O142" s="48"/>
      <c r="P142" s="49"/>
    </row>
    <row r="143" spans="1:16" x14ac:dyDescent="0.2">
      <c r="A143" s="38">
        <f>IF(COUNTBLANK(B143)=1," ",COUNTA(B$16:B143))</f>
        <v>121</v>
      </c>
      <c r="B143" s="39" t="s">
        <v>65</v>
      </c>
      <c r="C143" s="294" t="s">
        <v>479</v>
      </c>
      <c r="D143" s="111" t="s">
        <v>307</v>
      </c>
      <c r="E143" s="69">
        <v>56</v>
      </c>
      <c r="F143" s="70"/>
      <c r="G143" s="67"/>
      <c r="H143" s="48"/>
      <c r="I143" s="67"/>
      <c r="J143" s="67"/>
      <c r="K143" s="49"/>
      <c r="L143" s="50"/>
      <c r="M143" s="48"/>
      <c r="N143" s="48"/>
      <c r="O143" s="48"/>
      <c r="P143" s="49"/>
    </row>
    <row r="144" spans="1:16" ht="22.5" x14ac:dyDescent="0.2">
      <c r="A144" s="38">
        <f>IF(COUNTBLANK(B144)=1," ",COUNTA(B$16:B144))</f>
        <v>122</v>
      </c>
      <c r="B144" s="39" t="s">
        <v>65</v>
      </c>
      <c r="C144" s="113" t="s">
        <v>310</v>
      </c>
      <c r="D144" s="111" t="s">
        <v>70</v>
      </c>
      <c r="E144" s="69">
        <v>56</v>
      </c>
      <c r="F144" s="70"/>
      <c r="G144" s="67"/>
      <c r="H144" s="48"/>
      <c r="I144" s="67"/>
      <c r="J144" s="67"/>
      <c r="K144" s="49"/>
      <c r="L144" s="50"/>
      <c r="M144" s="48"/>
      <c r="N144" s="48"/>
      <c r="O144" s="48"/>
      <c r="P144" s="49"/>
    </row>
    <row r="145" spans="1:16" x14ac:dyDescent="0.2">
      <c r="A145" s="38">
        <f>IF(COUNTBLANK(B145)=1," ",COUNTA(B$16:B145))</f>
        <v>123</v>
      </c>
      <c r="B145" s="39" t="s">
        <v>65</v>
      </c>
      <c r="C145" s="113" t="s">
        <v>344</v>
      </c>
      <c r="D145" s="111" t="s">
        <v>70</v>
      </c>
      <c r="E145" s="69">
        <v>56</v>
      </c>
      <c r="F145" s="70"/>
      <c r="G145" s="67"/>
      <c r="H145" s="48"/>
      <c r="I145" s="67"/>
      <c r="J145" s="67"/>
      <c r="K145" s="49"/>
      <c r="L145" s="50"/>
      <c r="M145" s="48"/>
      <c r="N145" s="48"/>
      <c r="O145" s="48"/>
      <c r="P145" s="49"/>
    </row>
    <row r="146" spans="1:16" x14ac:dyDescent="0.2">
      <c r="A146" s="38" t="str">
        <f>IF(COUNTBLANK(B146)=1," ",COUNTA(B$16:B146))</f>
        <v xml:space="preserve"> </v>
      </c>
      <c r="B146" s="117"/>
      <c r="C146" s="110" t="s">
        <v>345</v>
      </c>
      <c r="D146" s="111"/>
      <c r="E146" s="69"/>
      <c r="F146" s="70"/>
      <c r="G146" s="67"/>
      <c r="H146" s="48"/>
      <c r="I146" s="67"/>
      <c r="J146" s="67"/>
      <c r="K146" s="49"/>
      <c r="L146" s="50"/>
      <c r="M146" s="48"/>
      <c r="N146" s="48"/>
      <c r="O146" s="48"/>
      <c r="P146" s="49"/>
    </row>
    <row r="147" spans="1:16" ht="22.5" x14ac:dyDescent="0.2">
      <c r="A147" s="38">
        <f>IF(COUNTBLANK(B147)=1," ",COUNTA(B$16:B147))</f>
        <v>124</v>
      </c>
      <c r="B147" s="39" t="s">
        <v>65</v>
      </c>
      <c r="C147" s="107" t="s">
        <v>486</v>
      </c>
      <c r="D147" s="111" t="s">
        <v>307</v>
      </c>
      <c r="E147" s="69">
        <v>4</v>
      </c>
      <c r="F147" s="70"/>
      <c r="G147" s="67"/>
      <c r="H147" s="48"/>
      <c r="I147" s="67"/>
      <c r="J147" s="67"/>
      <c r="K147" s="49"/>
      <c r="L147" s="50"/>
      <c r="M147" s="48"/>
      <c r="N147" s="48"/>
      <c r="O147" s="48"/>
      <c r="P147" s="49"/>
    </row>
    <row r="148" spans="1:16" ht="33.75" x14ac:dyDescent="0.2">
      <c r="A148" s="38">
        <f>IF(COUNTBLANK(B148)=1," ",COUNTA(B$16:B148))</f>
        <v>125</v>
      </c>
      <c r="B148" s="39" t="s">
        <v>65</v>
      </c>
      <c r="C148" s="107" t="s">
        <v>487</v>
      </c>
      <c r="D148" s="109" t="s">
        <v>70</v>
      </c>
      <c r="E148" s="69">
        <v>4</v>
      </c>
      <c r="F148" s="70"/>
      <c r="G148" s="67"/>
      <c r="H148" s="48"/>
      <c r="I148" s="67"/>
      <c r="J148" s="67"/>
      <c r="K148" s="49"/>
      <c r="L148" s="50"/>
      <c r="M148" s="48"/>
      <c r="N148" s="48"/>
      <c r="O148" s="48"/>
      <c r="P148" s="49"/>
    </row>
    <row r="149" spans="1:16" x14ac:dyDescent="0.2">
      <c r="A149" s="38">
        <f>IF(COUNTBLANK(B149)=1," ",COUNTA(B$16:B149))</f>
        <v>126</v>
      </c>
      <c r="B149" s="39" t="s">
        <v>65</v>
      </c>
      <c r="C149" s="118" t="s">
        <v>346</v>
      </c>
      <c r="D149" s="109" t="s">
        <v>67</v>
      </c>
      <c r="E149" s="69">
        <v>12</v>
      </c>
      <c r="F149" s="70"/>
      <c r="G149" s="67"/>
      <c r="H149" s="48"/>
      <c r="I149" s="67"/>
      <c r="J149" s="67"/>
      <c r="K149" s="49"/>
      <c r="L149" s="50"/>
      <c r="M149" s="48"/>
      <c r="N149" s="48"/>
      <c r="O149" s="48"/>
      <c r="P149" s="49"/>
    </row>
    <row r="150" spans="1:16" x14ac:dyDescent="0.2">
      <c r="A150" s="38">
        <f>IF(COUNTBLANK(B150)=1," ",COUNTA(B$16:B150))</f>
        <v>127</v>
      </c>
      <c r="B150" s="39" t="s">
        <v>65</v>
      </c>
      <c r="C150" s="330" t="s">
        <v>522</v>
      </c>
      <c r="D150" s="109" t="s">
        <v>70</v>
      </c>
      <c r="E150" s="69">
        <v>8</v>
      </c>
      <c r="F150" s="70"/>
      <c r="G150" s="67"/>
      <c r="H150" s="48"/>
      <c r="I150" s="67"/>
      <c r="J150" s="67"/>
      <c r="K150" s="49"/>
      <c r="L150" s="50"/>
      <c r="M150" s="48"/>
      <c r="N150" s="48"/>
      <c r="O150" s="48"/>
      <c r="P150" s="49"/>
    </row>
    <row r="151" spans="1:16" ht="22.5" x14ac:dyDescent="0.2">
      <c r="A151" s="38">
        <f>IF(COUNTBLANK(B151)=1," ",COUNTA(B$16:B151))</f>
        <v>128</v>
      </c>
      <c r="B151" s="39" t="s">
        <v>65</v>
      </c>
      <c r="C151" s="118" t="s">
        <v>347</v>
      </c>
      <c r="D151" s="109" t="s">
        <v>67</v>
      </c>
      <c r="E151" s="69">
        <v>8</v>
      </c>
      <c r="F151" s="70"/>
      <c r="G151" s="67"/>
      <c r="H151" s="48"/>
      <c r="I151" s="67"/>
      <c r="J151" s="67"/>
      <c r="K151" s="49"/>
      <c r="L151" s="50"/>
      <c r="M151" s="48"/>
      <c r="N151" s="48"/>
      <c r="O151" s="48"/>
      <c r="P151" s="49"/>
    </row>
    <row r="152" spans="1:16" ht="22.5" x14ac:dyDescent="0.2">
      <c r="A152" s="38">
        <f>IF(COUNTBLANK(B152)=1," ",COUNTA(B$16:B152))</f>
        <v>129</v>
      </c>
      <c r="B152" s="39" t="s">
        <v>65</v>
      </c>
      <c r="C152" s="118" t="s">
        <v>305</v>
      </c>
      <c r="D152" s="109" t="s">
        <v>83</v>
      </c>
      <c r="E152" s="69">
        <v>0.5</v>
      </c>
      <c r="F152" s="70"/>
      <c r="G152" s="67"/>
      <c r="H152" s="48"/>
      <c r="I152" s="67"/>
      <c r="J152" s="67"/>
      <c r="K152" s="49"/>
      <c r="L152" s="50"/>
      <c r="M152" s="48"/>
      <c r="N152" s="48"/>
      <c r="O152" s="48"/>
      <c r="P152" s="49"/>
    </row>
    <row r="153" spans="1:16" x14ac:dyDescent="0.2">
      <c r="A153" s="38">
        <f>IF(COUNTBLANK(B153)=1," ",COUNTA(B$16:B153))</f>
        <v>130</v>
      </c>
      <c r="B153" s="39" t="s">
        <v>65</v>
      </c>
      <c r="C153" s="118" t="s">
        <v>314</v>
      </c>
      <c r="D153" s="109" t="s">
        <v>307</v>
      </c>
      <c r="E153" s="69">
        <v>3</v>
      </c>
      <c r="F153" s="70"/>
      <c r="G153" s="67"/>
      <c r="H153" s="48"/>
      <c r="I153" s="67"/>
      <c r="J153" s="67"/>
      <c r="K153" s="49"/>
      <c r="L153" s="50"/>
      <c r="M153" s="48"/>
      <c r="N153" s="48"/>
      <c r="O153" s="48"/>
      <c r="P153" s="49"/>
    </row>
    <row r="154" spans="1:16" ht="23.25" thickBot="1" x14ac:dyDescent="0.25">
      <c r="A154" s="38">
        <f>IF(COUNTBLANK(B154)=1," ",COUNTA(B$16:B154))</f>
        <v>131</v>
      </c>
      <c r="B154" s="39" t="s">
        <v>65</v>
      </c>
      <c r="C154" s="118" t="s">
        <v>311</v>
      </c>
      <c r="D154" s="109" t="s">
        <v>307</v>
      </c>
      <c r="E154" s="69">
        <v>1</v>
      </c>
      <c r="F154" s="70"/>
      <c r="G154" s="67"/>
      <c r="H154" s="48"/>
      <c r="I154" s="67"/>
      <c r="J154" s="67"/>
      <c r="K154" s="49"/>
      <c r="L154" s="290"/>
      <c r="M154" s="291"/>
      <c r="N154" s="291"/>
      <c r="O154" s="291"/>
      <c r="P154" s="292"/>
    </row>
    <row r="155" spans="1:16" ht="12" thickBot="1" x14ac:dyDescent="0.25">
      <c r="A155" s="431" t="s">
        <v>514</v>
      </c>
      <c r="B155" s="432"/>
      <c r="C155" s="432"/>
      <c r="D155" s="432"/>
      <c r="E155" s="432"/>
      <c r="F155" s="432"/>
      <c r="G155" s="432"/>
      <c r="H155" s="432"/>
      <c r="I155" s="432"/>
      <c r="J155" s="432"/>
      <c r="K155" s="433"/>
      <c r="L155" s="71">
        <f>SUM(L15:L154)</f>
        <v>0</v>
      </c>
      <c r="M155" s="72">
        <f>SUM(M15:M154)</f>
        <v>0</v>
      </c>
      <c r="N155" s="72">
        <f>SUM(N15:N154)</f>
        <v>0</v>
      </c>
      <c r="O155" s="72">
        <f>SUM(O15:O154)</f>
        <v>0</v>
      </c>
      <c r="P155" s="73">
        <f>SUM(P15:P154)</f>
        <v>0</v>
      </c>
    </row>
    <row r="156" spans="1:16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 x14ac:dyDescent="0.2">
      <c r="A158" s="1" t="s">
        <v>14</v>
      </c>
      <c r="B158" s="17"/>
      <c r="C158" s="421">
        <f>'Kops a'!C32:H32</f>
        <v>0</v>
      </c>
      <c r="D158" s="421"/>
      <c r="E158" s="421"/>
      <c r="F158" s="421"/>
      <c r="G158" s="421"/>
      <c r="H158" s="421"/>
      <c r="I158" s="17"/>
      <c r="J158" s="17"/>
      <c r="K158" s="17"/>
      <c r="L158" s="17"/>
      <c r="M158" s="17"/>
      <c r="N158" s="17"/>
      <c r="O158" s="17"/>
      <c r="P158" s="17"/>
    </row>
    <row r="159" spans="1:16" x14ac:dyDescent="0.2">
      <c r="A159" s="17"/>
      <c r="B159" s="17"/>
      <c r="C159" s="331" t="s">
        <v>15</v>
      </c>
      <c r="D159" s="331"/>
      <c r="E159" s="331"/>
      <c r="F159" s="331"/>
      <c r="G159" s="331"/>
      <c r="H159" s="331"/>
      <c r="I159" s="17"/>
      <c r="J159" s="17"/>
      <c r="K159" s="17"/>
      <c r="L159" s="17"/>
      <c r="M159" s="17"/>
      <c r="N159" s="17"/>
      <c r="O159" s="17"/>
      <c r="P159" s="17"/>
    </row>
    <row r="160" spans="1:16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1:16" x14ac:dyDescent="0.2">
      <c r="A161" s="90" t="str">
        <f>'Kops a'!A35</f>
        <v>Tāme sastādīta 2021. gada</v>
      </c>
      <c r="B161" s="91"/>
      <c r="C161" s="91"/>
      <c r="D161" s="91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1:16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 x14ac:dyDescent="0.2">
      <c r="A163" s="1" t="s">
        <v>37</v>
      </c>
      <c r="B163" s="17"/>
      <c r="C163" s="421">
        <f>'Kops a'!C37:H37</f>
        <v>0</v>
      </c>
      <c r="D163" s="421"/>
      <c r="E163" s="421"/>
      <c r="F163" s="421"/>
      <c r="G163" s="421"/>
      <c r="H163" s="421"/>
      <c r="I163" s="17"/>
      <c r="J163" s="17"/>
      <c r="K163" s="17"/>
      <c r="L163" s="17"/>
      <c r="M163" s="17"/>
      <c r="N163" s="17"/>
      <c r="O163" s="17"/>
      <c r="P163" s="17"/>
    </row>
    <row r="164" spans="1:16" x14ac:dyDescent="0.2">
      <c r="A164" s="17"/>
      <c r="B164" s="17"/>
      <c r="C164" s="331" t="s">
        <v>15</v>
      </c>
      <c r="D164" s="331"/>
      <c r="E164" s="331"/>
      <c r="F164" s="331"/>
      <c r="G164" s="331"/>
      <c r="H164" s="331"/>
      <c r="I164" s="17"/>
      <c r="J164" s="17"/>
      <c r="K164" s="17"/>
      <c r="L164" s="17"/>
      <c r="M164" s="17"/>
      <c r="N164" s="17"/>
      <c r="O164" s="17"/>
      <c r="P164" s="17"/>
    </row>
    <row r="165" spans="1:16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 x14ac:dyDescent="0.2">
      <c r="A166" s="90" t="s">
        <v>54</v>
      </c>
      <c r="B166" s="91"/>
      <c r="C166" s="94">
        <f>'Kops a'!C40</f>
        <v>0</v>
      </c>
      <c r="D166" s="51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 ht="12" x14ac:dyDescent="0.2">
      <c r="A168" s="99" t="s">
        <v>316</v>
      </c>
      <c r="B168" s="100"/>
      <c r="C168" s="101"/>
      <c r="D168" s="101"/>
      <c r="E168" s="102"/>
      <c r="F168" s="103"/>
      <c r="G168" s="102"/>
      <c r="H168" s="104"/>
      <c r="I168" s="104"/>
      <c r="J168" s="105"/>
      <c r="K168" s="106"/>
      <c r="L168" s="106"/>
      <c r="M168" s="106"/>
      <c r="N168" s="106"/>
      <c r="O168" s="106"/>
    </row>
    <row r="169" spans="1:16" ht="12" x14ac:dyDescent="0.2">
      <c r="A169" s="434" t="s">
        <v>317</v>
      </c>
      <c r="B169" s="434"/>
      <c r="C169" s="434"/>
      <c r="D169" s="434"/>
      <c r="E169" s="434"/>
      <c r="F169" s="434"/>
      <c r="G169" s="434"/>
      <c r="H169" s="434"/>
      <c r="I169" s="434"/>
      <c r="J169" s="434"/>
      <c r="K169" s="434"/>
      <c r="L169" s="434"/>
      <c r="M169" s="434"/>
      <c r="N169" s="434"/>
      <c r="O169" s="434"/>
    </row>
    <row r="170" spans="1:16" ht="12" x14ac:dyDescent="0.2">
      <c r="A170" s="434" t="s">
        <v>318</v>
      </c>
      <c r="B170" s="434"/>
      <c r="C170" s="434"/>
      <c r="D170" s="434"/>
      <c r="E170" s="434"/>
      <c r="F170" s="434"/>
      <c r="G170" s="434"/>
      <c r="H170" s="434"/>
      <c r="I170" s="434"/>
      <c r="J170" s="434"/>
      <c r="K170" s="434"/>
      <c r="L170" s="434"/>
      <c r="M170" s="434"/>
      <c r="N170" s="434"/>
      <c r="O170" s="434"/>
    </row>
  </sheetData>
  <mergeCells count="24">
    <mergeCell ref="C164:H164"/>
    <mergeCell ref="D8:L8"/>
    <mergeCell ref="A155:K155"/>
    <mergeCell ref="A170:O170"/>
    <mergeCell ref="N9:O9"/>
    <mergeCell ref="A12:A13"/>
    <mergeCell ref="B12:B13"/>
    <mergeCell ref="C12:C13"/>
    <mergeCell ref="D12:D13"/>
    <mergeCell ref="E12:E13"/>
    <mergeCell ref="L12:P12"/>
    <mergeCell ref="C158:H158"/>
    <mergeCell ref="C159:H159"/>
    <mergeCell ref="A169:O169"/>
    <mergeCell ref="F12:K12"/>
    <mergeCell ref="A9:F9"/>
    <mergeCell ref="J9:M9"/>
    <mergeCell ref="C163:H163"/>
    <mergeCell ref="C2:I2"/>
    <mergeCell ref="C3:I3"/>
    <mergeCell ref="D5:L5"/>
    <mergeCell ref="D6:L6"/>
    <mergeCell ref="D7:L7"/>
    <mergeCell ref="C4:I4"/>
  </mergeCells>
  <conditionalFormatting sqref="B146 A147:G154 D133:G133 C16:G132 C134:G146 I16:J154 A16:A146 B16:B141">
    <cfRule type="cellIs" dxfId="20" priority="38" operator="equal">
      <formula>0</formula>
    </cfRule>
  </conditionalFormatting>
  <conditionalFormatting sqref="N9:O9 H15:H154 K15:P154">
    <cfRule type="cellIs" dxfId="19" priority="37" operator="equal">
      <formula>0</formula>
    </cfRule>
  </conditionalFormatting>
  <conditionalFormatting sqref="A9:F9">
    <cfRule type="containsText" dxfId="18" priority="3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7" priority="34" operator="equal">
      <formula>0</formula>
    </cfRule>
  </conditionalFormatting>
  <conditionalFormatting sqref="O10">
    <cfRule type="cellIs" dxfId="16" priority="33" operator="equal">
      <formula>"20__. gada __. _________"</formula>
    </cfRule>
  </conditionalFormatting>
  <conditionalFormatting sqref="A155:K155">
    <cfRule type="containsText" dxfId="15" priority="32" operator="containsText" text="Tiešās izmaksas kopā, t. sk. darba devēja sociālais nodoklis __.__% ">
      <formula>NOT(ISERROR(SEARCH("Tiešās izmaksas kopā, t. sk. darba devēja sociālais nodoklis __.__% ",A155)))</formula>
    </cfRule>
  </conditionalFormatting>
  <conditionalFormatting sqref="L155:P155">
    <cfRule type="cellIs" dxfId="14" priority="27" operator="equal">
      <formula>0</formula>
    </cfRule>
  </conditionalFormatting>
  <conditionalFormatting sqref="C4:I4">
    <cfRule type="cellIs" dxfId="13" priority="26" operator="equal">
      <formula>0</formula>
    </cfRule>
  </conditionalFormatting>
  <conditionalFormatting sqref="D5:L8">
    <cfRule type="cellIs" dxfId="12" priority="22" operator="equal">
      <formula>0</formula>
    </cfRule>
  </conditionalFormatting>
  <conditionalFormatting sqref="A15:B15 D15:G15">
    <cfRule type="cellIs" dxfId="11" priority="21" operator="equal">
      <formula>0</formula>
    </cfRule>
  </conditionalFormatting>
  <conditionalFormatting sqref="C15">
    <cfRule type="cellIs" dxfId="10" priority="20" operator="equal">
      <formula>0</formula>
    </cfRule>
  </conditionalFormatting>
  <conditionalFormatting sqref="I15:J15">
    <cfRule type="cellIs" dxfId="9" priority="19" operator="equal">
      <formula>0</formula>
    </cfRule>
  </conditionalFormatting>
  <conditionalFormatting sqref="P10">
    <cfRule type="cellIs" dxfId="8" priority="18" operator="equal">
      <formula>"20__. gada __. _________"</formula>
    </cfRule>
  </conditionalFormatting>
  <conditionalFormatting sqref="C163:H163">
    <cfRule type="cellIs" dxfId="7" priority="15" operator="equal">
      <formula>0</formula>
    </cfRule>
  </conditionalFormatting>
  <conditionalFormatting sqref="C158:H158">
    <cfRule type="cellIs" dxfId="6" priority="14" operator="equal">
      <formula>0</formula>
    </cfRule>
  </conditionalFormatting>
  <conditionalFormatting sqref="C163:H163 C166 C158:H158">
    <cfRule type="cellIs" dxfId="5" priority="13" operator="equal">
      <formula>0</formula>
    </cfRule>
  </conditionalFormatting>
  <conditionalFormatting sqref="D1">
    <cfRule type="cellIs" dxfId="4" priority="12" operator="equal">
      <formula>0</formula>
    </cfRule>
  </conditionalFormatting>
  <conditionalFormatting sqref="B142:B145">
    <cfRule type="cellIs" dxfId="3" priority="3" operator="equal">
      <formula>0</formula>
    </cfRule>
  </conditionalFormatting>
  <conditionalFormatting sqref="C133">
    <cfRule type="cellIs" dxfId="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EE428164-089A-404E-98DC-227888EB2467}">
            <xm:f>NOT(ISERROR(SEARCH("Tāme sastādīta ____. gada ___. ______________",A161)))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A161</xm:sqref>
        </x14:conditionalFormatting>
        <x14:conditionalFormatting xmlns:xm="http://schemas.microsoft.com/office/excel/2006/main">
          <x14:cfRule type="containsText" priority="16" operator="containsText" id="{879A8C95-2477-46CB-81ED-05AD5C15D29F}">
            <xm:f>NOT(ISERROR(SEARCH("Sertifikāta Nr. _________________________________",A166)))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A166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E565F-B017-4A6C-A81D-1FA59BEFE1D3}">
  <dimension ref="A1:AG24"/>
  <sheetViews>
    <sheetView zoomScale="85" zoomScaleNormal="85" workbookViewId="0">
      <selection activeCell="C31" sqref="C31"/>
    </sheetView>
  </sheetViews>
  <sheetFormatPr defaultColWidth="9" defaultRowHeight="11.25" x14ac:dyDescent="0.2"/>
  <cols>
    <col min="1" max="1" width="6.5703125" style="136" bestFit="1" customWidth="1"/>
    <col min="2" max="3" width="9" style="136"/>
    <col min="4" max="4" width="4.140625" style="136" customWidth="1"/>
    <col min="5" max="6" width="4.7109375" style="136" customWidth="1"/>
    <col min="7" max="21" width="9" style="136"/>
    <col min="22" max="33" width="9" style="132"/>
    <col min="34" max="16384" width="9" style="136"/>
  </cols>
  <sheetData>
    <row r="1" spans="1:33" s="133" customFormat="1" x14ac:dyDescent="0.2">
      <c r="A1" s="130"/>
      <c r="B1" s="131"/>
      <c r="C1" s="131"/>
      <c r="D1" s="131"/>
      <c r="E1" s="131"/>
      <c r="F1" s="131"/>
      <c r="G1" s="131"/>
      <c r="H1" s="131"/>
      <c r="I1" s="131"/>
      <c r="J1" s="439" t="s">
        <v>391</v>
      </c>
      <c r="K1" s="439"/>
      <c r="L1" s="439" t="s">
        <v>392</v>
      </c>
      <c r="M1" s="439"/>
      <c r="N1" s="439" t="s">
        <v>393</v>
      </c>
      <c r="O1" s="439"/>
      <c r="P1" s="440" t="s">
        <v>394</v>
      </c>
      <c r="Q1" s="440"/>
      <c r="R1" s="440"/>
      <c r="S1" s="440"/>
      <c r="T1" s="440"/>
      <c r="U1" s="316"/>
      <c r="V1" s="132" t="str">
        <f>T2</f>
        <v>Cokola profils EB PVC VARIO 220</v>
      </c>
      <c r="W1" s="132"/>
      <c r="X1" s="132"/>
      <c r="Y1" s="132" t="s">
        <v>395</v>
      </c>
      <c r="Z1" s="132"/>
      <c r="AA1" s="132"/>
      <c r="AB1" s="132" t="s">
        <v>396</v>
      </c>
      <c r="AC1" s="132"/>
      <c r="AD1" s="132"/>
      <c r="AE1" s="132" t="s">
        <v>397</v>
      </c>
      <c r="AF1" s="132"/>
      <c r="AG1" s="132"/>
    </row>
    <row r="2" spans="1:33" x14ac:dyDescent="0.2">
      <c r="A2" s="435" t="s">
        <v>398</v>
      </c>
      <c r="B2" s="436" t="s">
        <v>399</v>
      </c>
      <c r="C2" s="436"/>
      <c r="D2" s="436"/>
      <c r="E2" s="436" t="s">
        <v>400</v>
      </c>
      <c r="F2" s="436"/>
      <c r="G2" s="436" t="s">
        <v>401</v>
      </c>
      <c r="H2" s="436"/>
      <c r="I2" s="436"/>
      <c r="J2" s="134"/>
      <c r="K2" s="134"/>
      <c r="L2" s="134" t="s">
        <v>402</v>
      </c>
      <c r="M2" s="134" t="s">
        <v>403</v>
      </c>
      <c r="N2" s="134" t="s">
        <v>403</v>
      </c>
      <c r="O2" s="134" t="s">
        <v>402</v>
      </c>
      <c r="P2" s="437" t="s">
        <v>404</v>
      </c>
      <c r="Q2" s="437" t="s">
        <v>405</v>
      </c>
      <c r="R2" s="437" t="s">
        <v>406</v>
      </c>
      <c r="S2" s="437" t="s">
        <v>407</v>
      </c>
      <c r="T2" s="438" t="s">
        <v>408</v>
      </c>
      <c r="U2" s="317"/>
      <c r="V2" s="135"/>
      <c r="AE2" s="136"/>
    </row>
    <row r="3" spans="1:33" ht="22.5" x14ac:dyDescent="0.2">
      <c r="A3" s="435"/>
      <c r="B3" s="137" t="s">
        <v>409</v>
      </c>
      <c r="C3" s="137" t="s">
        <v>410</v>
      </c>
      <c r="D3" s="134" t="s">
        <v>411</v>
      </c>
      <c r="E3" s="134" t="s">
        <v>412</v>
      </c>
      <c r="F3" s="134" t="s">
        <v>413</v>
      </c>
      <c r="G3" s="134" t="s">
        <v>414</v>
      </c>
      <c r="H3" s="137" t="s">
        <v>409</v>
      </c>
      <c r="I3" s="138" t="s">
        <v>410</v>
      </c>
      <c r="J3" s="134" t="s">
        <v>415</v>
      </c>
      <c r="K3" s="134" t="s">
        <v>416</v>
      </c>
      <c r="L3" s="139">
        <v>0.25</v>
      </c>
      <c r="M3" s="139">
        <v>0.3</v>
      </c>
      <c r="N3" s="134"/>
      <c r="O3" s="134"/>
      <c r="P3" s="437"/>
      <c r="Q3" s="437"/>
      <c r="R3" s="437"/>
      <c r="S3" s="437"/>
      <c r="T3" s="438"/>
      <c r="U3" s="317" t="s">
        <v>510</v>
      </c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</row>
    <row r="4" spans="1:33" x14ac:dyDescent="0.2">
      <c r="A4" s="146" t="s">
        <v>417</v>
      </c>
      <c r="B4" s="147">
        <f t="shared" ref="B4" si="0">D4-C4</f>
        <v>36</v>
      </c>
      <c r="C4" s="147">
        <v>20</v>
      </c>
      <c r="D4" s="148">
        <v>56</v>
      </c>
      <c r="E4" s="148">
        <v>1.1499999999999999</v>
      </c>
      <c r="F4" s="148">
        <v>1.5</v>
      </c>
      <c r="G4" s="149">
        <f t="shared" ref="G4" si="1">E4*F4</f>
        <v>1.7249999999999999</v>
      </c>
      <c r="H4" s="150">
        <f t="shared" ref="H4" si="2">G4*B4</f>
        <v>62.099999999999994</v>
      </c>
      <c r="I4" s="151">
        <f t="shared" ref="I4" si="3">G4*C4</f>
        <v>34.5</v>
      </c>
      <c r="J4" s="149">
        <f t="shared" ref="J4" si="4">(E4*2+F4*2)*D4</f>
        <v>296.8</v>
      </c>
      <c r="K4" s="149">
        <f t="shared" ref="K4" si="5">(E4*2+F4*2)*C4</f>
        <v>106</v>
      </c>
      <c r="L4" s="149">
        <f t="shared" ref="L4" si="6">J4*$L$3</f>
        <v>74.2</v>
      </c>
      <c r="M4" s="149">
        <f t="shared" ref="M4" si="7">K4*$M$3</f>
        <v>31.799999999999997</v>
      </c>
      <c r="N4" s="149">
        <f t="shared" ref="N4" si="8">E4*C4</f>
        <v>23</v>
      </c>
      <c r="O4" s="149">
        <f t="shared" ref="O4" si="9">D4*E4*1.05</f>
        <v>67.61999999999999</v>
      </c>
      <c r="P4" s="150">
        <f t="shared" ref="P4" si="10">D4*(E4+2*F4)</f>
        <v>232.40000000000003</v>
      </c>
      <c r="Q4" s="150">
        <f t="shared" ref="Q4" si="11">P4</f>
        <v>232.40000000000003</v>
      </c>
      <c r="R4" s="150">
        <f t="shared" ref="R4" si="12">D4*E4</f>
        <v>64.399999999999991</v>
      </c>
      <c r="S4" s="150">
        <f t="shared" ref="S4" si="13">R4</f>
        <v>64.399999999999991</v>
      </c>
      <c r="T4" s="150"/>
      <c r="U4" s="318">
        <f>D4*4</f>
        <v>224</v>
      </c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</row>
    <row r="5" spans="1:33" x14ac:dyDescent="0.2">
      <c r="A5" s="152" t="s">
        <v>418</v>
      </c>
      <c r="B5" s="153">
        <f t="shared" ref="B5:B22" si="14">D5-C5</f>
        <v>15</v>
      </c>
      <c r="C5" s="154">
        <v>5</v>
      </c>
      <c r="D5" s="154">
        <v>20</v>
      </c>
      <c r="E5" s="154">
        <v>1.7949999999999999</v>
      </c>
      <c r="F5" s="154">
        <v>1.5</v>
      </c>
      <c r="G5" s="155">
        <f t="shared" ref="G5:G22" si="15">E5*F5</f>
        <v>2.6924999999999999</v>
      </c>
      <c r="H5" s="155">
        <f t="shared" ref="H5:H22" si="16">G5*B5</f>
        <v>40.387499999999996</v>
      </c>
      <c r="I5" s="156">
        <f t="shared" ref="I5:I22" si="17">G5*C5</f>
        <v>13.462499999999999</v>
      </c>
      <c r="J5" s="155">
        <f>(E5*2+F5)*D5</f>
        <v>101.8</v>
      </c>
      <c r="K5" s="155">
        <f>(E5*2+F5)*C5</f>
        <v>25.45</v>
      </c>
      <c r="L5" s="155">
        <f>J5*$L$3</f>
        <v>25.45</v>
      </c>
      <c r="M5" s="155">
        <f>K5*$M$3</f>
        <v>7.6349999999999998</v>
      </c>
      <c r="N5" s="155">
        <f>E5*C5</f>
        <v>8.9749999999999996</v>
      </c>
      <c r="O5" s="155">
        <f>D5*E5*1.05</f>
        <v>37.695</v>
      </c>
      <c r="P5" s="155">
        <f>D5*F5</f>
        <v>30</v>
      </c>
      <c r="Q5" s="155">
        <f>D5*(E5+F5)</f>
        <v>65.900000000000006</v>
      </c>
      <c r="R5" s="155">
        <f t="shared" ref="R5:R22" si="18">D5*E5</f>
        <v>35.9</v>
      </c>
      <c r="S5" s="155">
        <f>R5</f>
        <v>35.9</v>
      </c>
      <c r="T5" s="157"/>
      <c r="U5" s="319">
        <f>D5*4</f>
        <v>80</v>
      </c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</row>
    <row r="6" spans="1:33" x14ac:dyDescent="0.2">
      <c r="A6" s="158" t="s">
        <v>419</v>
      </c>
      <c r="B6" s="159">
        <f t="shared" si="14"/>
        <v>15</v>
      </c>
      <c r="C6" s="160">
        <f>C5</f>
        <v>5</v>
      </c>
      <c r="D6" s="160">
        <f>D5</f>
        <v>20</v>
      </c>
      <c r="E6" s="160">
        <v>0.7</v>
      </c>
      <c r="F6" s="160">
        <v>2.2000000000000002</v>
      </c>
      <c r="G6" s="161">
        <f t="shared" si="15"/>
        <v>1.54</v>
      </c>
      <c r="H6" s="161">
        <f t="shared" si="16"/>
        <v>23.1</v>
      </c>
      <c r="I6" s="162">
        <f t="shared" si="17"/>
        <v>7.7</v>
      </c>
      <c r="J6" s="161">
        <f>(E6*2+F6*2-F5)*D6</f>
        <v>86.000000000000014</v>
      </c>
      <c r="K6" s="161">
        <f>(E6*2+F6*2-F5)*C6</f>
        <v>21.500000000000004</v>
      </c>
      <c r="L6" s="161">
        <f t="shared" ref="L6:L22" si="19">J6*$L$3</f>
        <v>21.500000000000004</v>
      </c>
      <c r="M6" s="161">
        <f>((E6+F6*2-F5)*C6)*$M$3</f>
        <v>5.4000000000000012</v>
      </c>
      <c r="N6" s="161"/>
      <c r="O6" s="161"/>
      <c r="P6" s="161">
        <f>D6*(2*F6-F5)</f>
        <v>58.000000000000007</v>
      </c>
      <c r="Q6" s="161">
        <f>D6*(E6+2*F6-F5)</f>
        <v>72.000000000000014</v>
      </c>
      <c r="R6" s="161">
        <f t="shared" si="18"/>
        <v>14</v>
      </c>
      <c r="S6" s="161"/>
      <c r="T6" s="163"/>
      <c r="U6" s="318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</row>
    <row r="7" spans="1:33" x14ac:dyDescent="0.2">
      <c r="A7" s="158" t="s">
        <v>420</v>
      </c>
      <c r="B7" s="159">
        <f t="shared" si="14"/>
        <v>12</v>
      </c>
      <c r="C7" s="160">
        <v>8</v>
      </c>
      <c r="D7" s="160">
        <v>20</v>
      </c>
      <c r="E7" s="160">
        <v>1.7949999999999999</v>
      </c>
      <c r="F7" s="160">
        <v>1.5</v>
      </c>
      <c r="G7" s="161">
        <f t="shared" si="15"/>
        <v>2.6924999999999999</v>
      </c>
      <c r="H7" s="161">
        <f t="shared" si="16"/>
        <v>32.31</v>
      </c>
      <c r="I7" s="162">
        <f t="shared" si="17"/>
        <v>21.54</v>
      </c>
      <c r="J7" s="161">
        <f>(E7*2+F7)*D7</f>
        <v>101.8</v>
      </c>
      <c r="K7" s="161">
        <f>(E7*2+F7)*C7</f>
        <v>40.72</v>
      </c>
      <c r="L7" s="161">
        <f t="shared" si="19"/>
        <v>25.45</v>
      </c>
      <c r="M7" s="161">
        <f t="shared" ref="M7:M18" si="20">K7*$M$3</f>
        <v>12.215999999999999</v>
      </c>
      <c r="N7" s="161">
        <f>E7*C7</f>
        <v>14.36</v>
      </c>
      <c r="O7" s="161">
        <f>D7*E7*1.05</f>
        <v>37.695</v>
      </c>
      <c r="P7" s="161">
        <f>D7*F7</f>
        <v>30</v>
      </c>
      <c r="Q7" s="161">
        <f>D7*(E7+F7)</f>
        <v>65.900000000000006</v>
      </c>
      <c r="R7" s="161">
        <f t="shared" si="18"/>
        <v>35.9</v>
      </c>
      <c r="S7" s="161">
        <f>R7</f>
        <v>35.9</v>
      </c>
      <c r="T7" s="163"/>
      <c r="U7" s="319">
        <f t="shared" ref="U7:U18" si="21">D7*4</f>
        <v>80</v>
      </c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</row>
    <row r="8" spans="1:33" x14ac:dyDescent="0.2">
      <c r="A8" s="158" t="s">
        <v>421</v>
      </c>
      <c r="B8" s="159">
        <f t="shared" si="14"/>
        <v>12</v>
      </c>
      <c r="C8" s="160">
        <f>C7</f>
        <v>8</v>
      </c>
      <c r="D8" s="160">
        <f>D7</f>
        <v>20</v>
      </c>
      <c r="E8" s="160">
        <v>0.7</v>
      </c>
      <c r="F8" s="160">
        <v>2.2000000000000002</v>
      </c>
      <c r="G8" s="164">
        <f t="shared" si="15"/>
        <v>1.54</v>
      </c>
      <c r="H8" s="164">
        <f t="shared" si="16"/>
        <v>18.48</v>
      </c>
      <c r="I8" s="165">
        <f t="shared" si="17"/>
        <v>12.32</v>
      </c>
      <c r="J8" s="164">
        <f>(E8*2+F8*2-F7)*D8</f>
        <v>86.000000000000014</v>
      </c>
      <c r="K8" s="164">
        <f>(E8*2+F8*2-F7)*C8</f>
        <v>34.400000000000006</v>
      </c>
      <c r="L8" s="164">
        <f t="shared" si="19"/>
        <v>21.500000000000004</v>
      </c>
      <c r="M8" s="164">
        <f>((E8+F8*2-F7)*C8)*$M$3</f>
        <v>8.64</v>
      </c>
      <c r="N8" s="164"/>
      <c r="O8" s="164"/>
      <c r="P8" s="164">
        <f>D8*(2*F8-F7)</f>
        <v>58.000000000000007</v>
      </c>
      <c r="Q8" s="164">
        <f>D8*(E8+2*F8-F7)</f>
        <v>72.000000000000014</v>
      </c>
      <c r="R8" s="164">
        <f t="shared" si="18"/>
        <v>14</v>
      </c>
      <c r="S8" s="164"/>
      <c r="T8" s="163"/>
      <c r="U8" s="318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</row>
    <row r="9" spans="1:33" x14ac:dyDescent="0.2">
      <c r="A9" s="146" t="s">
        <v>422</v>
      </c>
      <c r="B9" s="150">
        <f t="shared" si="14"/>
        <v>36</v>
      </c>
      <c r="C9" s="166">
        <v>0</v>
      </c>
      <c r="D9" s="167">
        <v>36</v>
      </c>
      <c r="E9" s="167">
        <v>1.58</v>
      </c>
      <c r="F9" s="167">
        <v>0.5</v>
      </c>
      <c r="G9" s="149">
        <f t="shared" si="15"/>
        <v>0.79</v>
      </c>
      <c r="H9" s="150">
        <f t="shared" si="16"/>
        <v>28.44</v>
      </c>
      <c r="I9" s="151">
        <f t="shared" si="17"/>
        <v>0</v>
      </c>
      <c r="J9" s="149">
        <f t="shared" ref="J9" si="22">(E9*2+F9*2)*D9</f>
        <v>149.76</v>
      </c>
      <c r="K9" s="149">
        <f t="shared" ref="K9" si="23">(E9*2+F9*2)*C9</f>
        <v>0</v>
      </c>
      <c r="L9" s="149">
        <f t="shared" si="19"/>
        <v>37.44</v>
      </c>
      <c r="M9" s="149">
        <f t="shared" si="20"/>
        <v>0</v>
      </c>
      <c r="N9" s="149">
        <f t="shared" ref="N9" si="24">E9*C9</f>
        <v>0</v>
      </c>
      <c r="O9" s="149">
        <f t="shared" ref="O9" si="25">D9*E9*1.05</f>
        <v>59.724000000000004</v>
      </c>
      <c r="P9" s="150">
        <f t="shared" ref="P9" si="26">D9*(E9+2*F9)</f>
        <v>92.88</v>
      </c>
      <c r="Q9" s="150">
        <f t="shared" ref="Q9" si="27">P9</f>
        <v>92.88</v>
      </c>
      <c r="R9" s="150">
        <f t="shared" si="18"/>
        <v>56.88</v>
      </c>
      <c r="S9" s="150">
        <f t="shared" ref="S9" si="28">R9</f>
        <v>56.88</v>
      </c>
      <c r="T9" s="147"/>
      <c r="U9" s="319">
        <f t="shared" si="21"/>
        <v>144</v>
      </c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</row>
    <row r="10" spans="1:33" x14ac:dyDescent="0.2">
      <c r="A10" s="158" t="s">
        <v>423</v>
      </c>
      <c r="B10" s="159">
        <f t="shared" si="14"/>
        <v>25</v>
      </c>
      <c r="C10" s="160">
        <v>15</v>
      </c>
      <c r="D10" s="160">
        <v>40</v>
      </c>
      <c r="E10" s="160">
        <v>1.49</v>
      </c>
      <c r="F10" s="160">
        <v>1.5</v>
      </c>
      <c r="G10" s="161">
        <f>E10*F10</f>
        <v>2.2349999999999999</v>
      </c>
      <c r="H10" s="161">
        <f t="shared" si="16"/>
        <v>55.875</v>
      </c>
      <c r="I10" s="162">
        <f t="shared" si="17"/>
        <v>33.524999999999999</v>
      </c>
      <c r="J10" s="161">
        <f>(E10*2+F10)*D10</f>
        <v>179.20000000000002</v>
      </c>
      <c r="K10" s="161">
        <f>(E10*2+F10)*C10</f>
        <v>67.2</v>
      </c>
      <c r="L10" s="161">
        <f t="shared" si="19"/>
        <v>44.800000000000004</v>
      </c>
      <c r="M10" s="161">
        <f t="shared" si="20"/>
        <v>20.16</v>
      </c>
      <c r="N10" s="161">
        <f>E10*C10</f>
        <v>22.35</v>
      </c>
      <c r="O10" s="161">
        <f>D10*E10*1.05</f>
        <v>62.580000000000005</v>
      </c>
      <c r="P10" s="161">
        <f>D10*F10</f>
        <v>60</v>
      </c>
      <c r="Q10" s="161">
        <f>D10*(E10+F10)</f>
        <v>119.60000000000001</v>
      </c>
      <c r="R10" s="161">
        <f t="shared" si="18"/>
        <v>59.6</v>
      </c>
      <c r="S10" s="161">
        <f>R10</f>
        <v>59.6</v>
      </c>
      <c r="T10" s="163"/>
      <c r="U10" s="318">
        <f t="shared" si="21"/>
        <v>160</v>
      </c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</row>
    <row r="11" spans="1:33" x14ac:dyDescent="0.2">
      <c r="A11" s="158" t="s">
        <v>434</v>
      </c>
      <c r="B11" s="159">
        <f t="shared" si="14"/>
        <v>25</v>
      </c>
      <c r="C11" s="160">
        <f>C10</f>
        <v>15</v>
      </c>
      <c r="D11" s="160">
        <f>D10</f>
        <v>40</v>
      </c>
      <c r="E11" s="160">
        <v>0.7</v>
      </c>
      <c r="F11" s="160">
        <v>2.2000000000000002</v>
      </c>
      <c r="G11" s="161">
        <f t="shared" si="15"/>
        <v>1.54</v>
      </c>
      <c r="H11" s="161">
        <f t="shared" si="16"/>
        <v>38.5</v>
      </c>
      <c r="I11" s="162">
        <f t="shared" si="17"/>
        <v>23.1</v>
      </c>
      <c r="J11" s="161">
        <f>(E11*2+F11*2-F10)*D11</f>
        <v>172.00000000000003</v>
      </c>
      <c r="K11" s="161">
        <f>(E11*2+F11*2-F10)*C11</f>
        <v>64.500000000000014</v>
      </c>
      <c r="L11" s="161">
        <f t="shared" si="19"/>
        <v>43.000000000000007</v>
      </c>
      <c r="M11" s="161">
        <f>((E11+F11*2-F10)*C11)*$M$3</f>
        <v>16.200000000000003</v>
      </c>
      <c r="N11" s="161"/>
      <c r="O11" s="161"/>
      <c r="P11" s="161">
        <f>D11*(2*F11-F10)</f>
        <v>116.00000000000001</v>
      </c>
      <c r="Q11" s="161">
        <f>D11*(E11+2*F11-F10)</f>
        <v>144.00000000000003</v>
      </c>
      <c r="R11" s="161">
        <f t="shared" si="18"/>
        <v>28</v>
      </c>
      <c r="S11" s="161"/>
      <c r="T11" s="163"/>
      <c r="U11" s="319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</row>
    <row r="12" spans="1:33" x14ac:dyDescent="0.2">
      <c r="A12" s="158" t="s">
        <v>424</v>
      </c>
      <c r="B12" s="159">
        <f t="shared" si="14"/>
        <v>13</v>
      </c>
      <c r="C12" s="160">
        <v>7</v>
      </c>
      <c r="D12" s="160">
        <v>20</v>
      </c>
      <c r="E12" s="160">
        <v>1.49</v>
      </c>
      <c r="F12" s="160">
        <v>1.5</v>
      </c>
      <c r="G12" s="161">
        <f t="shared" si="15"/>
        <v>2.2349999999999999</v>
      </c>
      <c r="H12" s="161">
        <f t="shared" si="16"/>
        <v>29.055</v>
      </c>
      <c r="I12" s="162">
        <f t="shared" si="17"/>
        <v>15.645</v>
      </c>
      <c r="J12" s="161">
        <f>(E12*2+F12)*D12</f>
        <v>89.600000000000009</v>
      </c>
      <c r="K12" s="161">
        <f>(E12*2+F12)*C12</f>
        <v>31.360000000000003</v>
      </c>
      <c r="L12" s="161">
        <f t="shared" si="19"/>
        <v>22.400000000000002</v>
      </c>
      <c r="M12" s="161">
        <f t="shared" si="20"/>
        <v>9.4080000000000013</v>
      </c>
      <c r="N12" s="161">
        <f>E12*C12</f>
        <v>10.43</v>
      </c>
      <c r="O12" s="161">
        <f>D12*E12*1.05</f>
        <v>31.290000000000003</v>
      </c>
      <c r="P12" s="161">
        <f>D12*F12</f>
        <v>30</v>
      </c>
      <c r="Q12" s="161">
        <f>D12*(E12+F12)</f>
        <v>59.800000000000004</v>
      </c>
      <c r="R12" s="161">
        <f t="shared" si="18"/>
        <v>29.8</v>
      </c>
      <c r="S12" s="161">
        <f>R12</f>
        <v>29.8</v>
      </c>
      <c r="T12" s="163"/>
      <c r="U12" s="318">
        <f t="shared" si="21"/>
        <v>80</v>
      </c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</row>
    <row r="13" spans="1:33" x14ac:dyDescent="0.2">
      <c r="A13" s="158" t="s">
        <v>435</v>
      </c>
      <c r="B13" s="159">
        <f t="shared" si="14"/>
        <v>13</v>
      </c>
      <c r="C13" s="160">
        <f>C12</f>
        <v>7</v>
      </c>
      <c r="D13" s="160">
        <f>D12</f>
        <v>20</v>
      </c>
      <c r="E13" s="160">
        <v>0.7</v>
      </c>
      <c r="F13" s="160">
        <v>2.2000000000000002</v>
      </c>
      <c r="G13" s="161">
        <f t="shared" si="15"/>
        <v>1.54</v>
      </c>
      <c r="H13" s="161">
        <f t="shared" si="16"/>
        <v>20.02</v>
      </c>
      <c r="I13" s="162">
        <f t="shared" si="17"/>
        <v>10.780000000000001</v>
      </c>
      <c r="J13" s="161">
        <f>(E13*2+F13*2-F12)*D13</f>
        <v>86.000000000000014</v>
      </c>
      <c r="K13" s="161">
        <f>(E13*2+F13*2-F12)*C13</f>
        <v>30.100000000000005</v>
      </c>
      <c r="L13" s="161">
        <f t="shared" si="19"/>
        <v>21.500000000000004</v>
      </c>
      <c r="M13" s="161">
        <f>((E13+F13*2-F12)*C13)*$M$3</f>
        <v>7.5600000000000005</v>
      </c>
      <c r="N13" s="161"/>
      <c r="O13" s="161"/>
      <c r="P13" s="161">
        <f>D13*(2*F13-F12)</f>
        <v>58.000000000000007</v>
      </c>
      <c r="Q13" s="161">
        <f>D13*(E13+2*F13-F12)</f>
        <v>72.000000000000014</v>
      </c>
      <c r="R13" s="161">
        <f t="shared" si="18"/>
        <v>14</v>
      </c>
      <c r="S13" s="161"/>
      <c r="T13" s="163"/>
      <c r="U13" s="319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</row>
    <row r="14" spans="1:33" x14ac:dyDescent="0.2">
      <c r="A14" s="158" t="s">
        <v>425</v>
      </c>
      <c r="B14" s="168">
        <f t="shared" si="14"/>
        <v>9</v>
      </c>
      <c r="C14" s="167">
        <v>3</v>
      </c>
      <c r="D14" s="167">
        <v>12</v>
      </c>
      <c r="E14" s="167">
        <v>2</v>
      </c>
      <c r="F14" s="167">
        <v>1.45</v>
      </c>
      <c r="G14" s="169">
        <f t="shared" si="15"/>
        <v>2.9</v>
      </c>
      <c r="H14" s="169">
        <f t="shared" si="16"/>
        <v>26.099999999999998</v>
      </c>
      <c r="I14" s="170">
        <f t="shared" si="17"/>
        <v>8.6999999999999993</v>
      </c>
      <c r="J14" s="169">
        <f t="shared" ref="J14:J22" si="29">(E14*2+F14*2)*D14</f>
        <v>82.800000000000011</v>
      </c>
      <c r="K14" s="169">
        <f t="shared" ref="K14:K22" si="30">(E14*2+F14*2)*C14</f>
        <v>20.700000000000003</v>
      </c>
      <c r="L14" s="161">
        <f t="shared" si="19"/>
        <v>20.700000000000003</v>
      </c>
      <c r="M14" s="161">
        <f t="shared" si="20"/>
        <v>6.2100000000000009</v>
      </c>
      <c r="N14" s="169">
        <f t="shared" ref="N14:N18" si="31">E14*C14</f>
        <v>6</v>
      </c>
      <c r="O14" s="169">
        <f t="shared" ref="O14:O18" si="32">D14*E14*1.05</f>
        <v>25.200000000000003</v>
      </c>
      <c r="P14" s="169">
        <f t="shared" ref="P14:P22" si="33">D14*(E14+2*F14)</f>
        <v>58.800000000000004</v>
      </c>
      <c r="Q14" s="169">
        <f t="shared" ref="Q14:Q22" si="34">P14</f>
        <v>58.800000000000004</v>
      </c>
      <c r="R14" s="161">
        <f t="shared" si="18"/>
        <v>24</v>
      </c>
      <c r="S14" s="169">
        <f t="shared" ref="S14:S18" si="35">R14</f>
        <v>24</v>
      </c>
      <c r="T14" s="163"/>
      <c r="U14" s="318">
        <f t="shared" si="21"/>
        <v>48</v>
      </c>
      <c r="V14" s="135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</row>
    <row r="15" spans="1:33" x14ac:dyDescent="0.2">
      <c r="A15" s="158" t="s">
        <v>426</v>
      </c>
      <c r="B15" s="168">
        <f t="shared" si="14"/>
        <v>2</v>
      </c>
      <c r="C15" s="167">
        <v>2</v>
      </c>
      <c r="D15" s="167">
        <v>4</v>
      </c>
      <c r="E15" s="167">
        <v>2</v>
      </c>
      <c r="F15" s="167">
        <v>1.45</v>
      </c>
      <c r="G15" s="169">
        <f t="shared" si="15"/>
        <v>2.9</v>
      </c>
      <c r="H15" s="169">
        <f t="shared" si="16"/>
        <v>5.8</v>
      </c>
      <c r="I15" s="170">
        <f t="shared" si="17"/>
        <v>5.8</v>
      </c>
      <c r="J15" s="169">
        <f t="shared" si="29"/>
        <v>27.6</v>
      </c>
      <c r="K15" s="169">
        <f t="shared" si="30"/>
        <v>13.8</v>
      </c>
      <c r="L15" s="161">
        <f t="shared" si="19"/>
        <v>6.9</v>
      </c>
      <c r="M15" s="161">
        <f t="shared" si="20"/>
        <v>4.1399999999999997</v>
      </c>
      <c r="N15" s="169">
        <f t="shared" si="31"/>
        <v>4</v>
      </c>
      <c r="O15" s="169">
        <f t="shared" si="32"/>
        <v>8.4</v>
      </c>
      <c r="P15" s="169">
        <f t="shared" si="33"/>
        <v>19.600000000000001</v>
      </c>
      <c r="Q15" s="169">
        <f t="shared" si="34"/>
        <v>19.600000000000001</v>
      </c>
      <c r="R15" s="161">
        <f t="shared" si="18"/>
        <v>8</v>
      </c>
      <c r="S15" s="169">
        <f t="shared" si="35"/>
        <v>8</v>
      </c>
      <c r="T15" s="163"/>
      <c r="U15" s="319">
        <f t="shared" si="21"/>
        <v>16</v>
      </c>
      <c r="V15" s="135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</row>
    <row r="16" spans="1:33" x14ac:dyDescent="0.2">
      <c r="A16" s="158" t="s">
        <v>427</v>
      </c>
      <c r="B16" s="168">
        <f t="shared" si="14"/>
        <v>2</v>
      </c>
      <c r="C16" s="167">
        <v>2</v>
      </c>
      <c r="D16" s="167">
        <v>4</v>
      </c>
      <c r="E16" s="167">
        <v>1.85</v>
      </c>
      <c r="F16" s="167">
        <v>1.45</v>
      </c>
      <c r="G16" s="169">
        <f t="shared" si="15"/>
        <v>2.6825000000000001</v>
      </c>
      <c r="H16" s="169">
        <f t="shared" si="16"/>
        <v>5.3650000000000002</v>
      </c>
      <c r="I16" s="170">
        <f t="shared" si="17"/>
        <v>5.3650000000000002</v>
      </c>
      <c r="J16" s="169">
        <f t="shared" si="29"/>
        <v>26.4</v>
      </c>
      <c r="K16" s="169">
        <f t="shared" si="30"/>
        <v>13.2</v>
      </c>
      <c r="L16" s="161">
        <f t="shared" si="19"/>
        <v>6.6</v>
      </c>
      <c r="M16" s="161">
        <f t="shared" si="20"/>
        <v>3.9599999999999995</v>
      </c>
      <c r="N16" s="169">
        <f t="shared" si="31"/>
        <v>3.7</v>
      </c>
      <c r="O16" s="169">
        <f t="shared" si="32"/>
        <v>7.7700000000000005</v>
      </c>
      <c r="P16" s="169">
        <f t="shared" si="33"/>
        <v>19</v>
      </c>
      <c r="Q16" s="169">
        <f t="shared" si="34"/>
        <v>19</v>
      </c>
      <c r="R16" s="161">
        <f t="shared" si="18"/>
        <v>7.4</v>
      </c>
      <c r="S16" s="169">
        <f t="shared" si="35"/>
        <v>7.4</v>
      </c>
      <c r="T16" s="163"/>
      <c r="U16" s="318">
        <f t="shared" si="21"/>
        <v>16</v>
      </c>
      <c r="V16" s="135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</row>
    <row r="17" spans="1:33" x14ac:dyDescent="0.2">
      <c r="A17" s="158" t="s">
        <v>428</v>
      </c>
      <c r="B17" s="168">
        <f t="shared" si="14"/>
        <v>16</v>
      </c>
      <c r="C17" s="167">
        <v>0</v>
      </c>
      <c r="D17" s="167">
        <v>16</v>
      </c>
      <c r="E17" s="167">
        <v>3.05</v>
      </c>
      <c r="F17" s="167">
        <v>0.65</v>
      </c>
      <c r="G17" s="169">
        <f t="shared" si="15"/>
        <v>1.9824999999999999</v>
      </c>
      <c r="H17" s="169">
        <f t="shared" si="16"/>
        <v>31.72</v>
      </c>
      <c r="I17" s="170">
        <f t="shared" si="17"/>
        <v>0</v>
      </c>
      <c r="J17" s="169">
        <f t="shared" si="29"/>
        <v>118.39999999999999</v>
      </c>
      <c r="K17" s="169">
        <f t="shared" si="30"/>
        <v>0</v>
      </c>
      <c r="L17" s="161">
        <f t="shared" si="19"/>
        <v>29.599999999999998</v>
      </c>
      <c r="M17" s="161">
        <f t="shared" si="20"/>
        <v>0</v>
      </c>
      <c r="N17" s="169">
        <f t="shared" si="31"/>
        <v>0</v>
      </c>
      <c r="O17" s="169">
        <f t="shared" si="32"/>
        <v>51.24</v>
      </c>
      <c r="P17" s="169">
        <f t="shared" si="33"/>
        <v>69.599999999999994</v>
      </c>
      <c r="Q17" s="169">
        <f t="shared" si="34"/>
        <v>69.599999999999994</v>
      </c>
      <c r="R17" s="161">
        <f t="shared" si="18"/>
        <v>48.8</v>
      </c>
      <c r="S17" s="169">
        <f t="shared" si="35"/>
        <v>48.8</v>
      </c>
      <c r="T17" s="163"/>
      <c r="U17" s="319">
        <f t="shared" si="21"/>
        <v>64</v>
      </c>
      <c r="V17" s="135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</row>
    <row r="18" spans="1:33" x14ac:dyDescent="0.2">
      <c r="A18" s="158" t="s">
        <v>429</v>
      </c>
      <c r="B18" s="168">
        <f t="shared" si="14"/>
        <v>8</v>
      </c>
      <c r="C18" s="167">
        <v>0</v>
      </c>
      <c r="D18" s="167">
        <v>8</v>
      </c>
      <c r="E18" s="167">
        <v>1.58</v>
      </c>
      <c r="F18" s="167">
        <v>0.65</v>
      </c>
      <c r="G18" s="169">
        <f t="shared" si="15"/>
        <v>1.0270000000000001</v>
      </c>
      <c r="H18" s="169">
        <f t="shared" si="16"/>
        <v>8.2160000000000011</v>
      </c>
      <c r="I18" s="170">
        <f t="shared" si="17"/>
        <v>0</v>
      </c>
      <c r="J18" s="169">
        <f t="shared" si="29"/>
        <v>35.68</v>
      </c>
      <c r="K18" s="169">
        <f t="shared" si="30"/>
        <v>0</v>
      </c>
      <c r="L18" s="161">
        <f t="shared" si="19"/>
        <v>8.92</v>
      </c>
      <c r="M18" s="161">
        <f t="shared" si="20"/>
        <v>0</v>
      </c>
      <c r="N18" s="169">
        <f t="shared" si="31"/>
        <v>0</v>
      </c>
      <c r="O18" s="169">
        <f t="shared" si="32"/>
        <v>13.272000000000002</v>
      </c>
      <c r="P18" s="169">
        <f t="shared" si="33"/>
        <v>23.04</v>
      </c>
      <c r="Q18" s="169">
        <f t="shared" si="34"/>
        <v>23.04</v>
      </c>
      <c r="R18" s="161">
        <f t="shared" si="18"/>
        <v>12.64</v>
      </c>
      <c r="S18" s="169">
        <f t="shared" si="35"/>
        <v>12.64</v>
      </c>
      <c r="T18" s="163"/>
      <c r="U18" s="318">
        <f t="shared" si="21"/>
        <v>32</v>
      </c>
      <c r="V18" s="135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</row>
    <row r="19" spans="1:33" x14ac:dyDescent="0.2">
      <c r="A19" s="158" t="s">
        <v>430</v>
      </c>
      <c r="B19" s="168">
        <f t="shared" si="14"/>
        <v>4</v>
      </c>
      <c r="C19" s="167">
        <v>0</v>
      </c>
      <c r="D19" s="167">
        <v>4</v>
      </c>
      <c r="E19" s="167">
        <v>1.25</v>
      </c>
      <c r="F19" s="167">
        <v>2.1</v>
      </c>
      <c r="G19" s="169">
        <f t="shared" si="15"/>
        <v>2.625</v>
      </c>
      <c r="H19" s="169">
        <f t="shared" si="16"/>
        <v>10.5</v>
      </c>
      <c r="I19" s="170">
        <f t="shared" si="17"/>
        <v>0</v>
      </c>
      <c r="J19" s="169">
        <f t="shared" si="29"/>
        <v>26.8</v>
      </c>
      <c r="K19" s="169">
        <f t="shared" si="30"/>
        <v>0</v>
      </c>
      <c r="L19" s="161">
        <f t="shared" si="19"/>
        <v>6.7</v>
      </c>
      <c r="M19" s="161">
        <f>((E19+F19*2)*C19)*$M$3</f>
        <v>0</v>
      </c>
      <c r="N19" s="169"/>
      <c r="O19" s="169"/>
      <c r="P19" s="169">
        <f t="shared" si="33"/>
        <v>21.8</v>
      </c>
      <c r="Q19" s="169">
        <f t="shared" si="34"/>
        <v>21.8</v>
      </c>
      <c r="R19" s="161">
        <f t="shared" si="18"/>
        <v>5</v>
      </c>
      <c r="S19" s="169"/>
      <c r="T19" s="163"/>
      <c r="V19" s="135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</row>
    <row r="20" spans="1:33" x14ac:dyDescent="0.2">
      <c r="A20" s="158" t="s">
        <v>431</v>
      </c>
      <c r="B20" s="168">
        <f t="shared" si="14"/>
        <v>4</v>
      </c>
      <c r="C20" s="167">
        <v>0</v>
      </c>
      <c r="D20" s="167">
        <v>4</v>
      </c>
      <c r="E20" s="167">
        <v>0.97</v>
      </c>
      <c r="F20" s="167">
        <v>1.9</v>
      </c>
      <c r="G20" s="169">
        <f t="shared" si="15"/>
        <v>1.843</v>
      </c>
      <c r="H20" s="169">
        <f t="shared" si="16"/>
        <v>7.3719999999999999</v>
      </c>
      <c r="I20" s="170">
        <f t="shared" si="17"/>
        <v>0</v>
      </c>
      <c r="J20" s="169">
        <f t="shared" si="29"/>
        <v>22.96</v>
      </c>
      <c r="K20" s="169">
        <f t="shared" si="30"/>
        <v>0</v>
      </c>
      <c r="L20" s="161">
        <f t="shared" si="19"/>
        <v>5.74</v>
      </c>
      <c r="M20" s="161">
        <f t="shared" ref="M20:M22" si="36">((E20+F20*2)*C20)*$M$3</f>
        <v>0</v>
      </c>
      <c r="N20" s="169"/>
      <c r="O20" s="169"/>
      <c r="P20" s="169">
        <f t="shared" si="33"/>
        <v>19.079999999999998</v>
      </c>
      <c r="Q20" s="169">
        <f t="shared" si="34"/>
        <v>19.079999999999998</v>
      </c>
      <c r="R20" s="161">
        <f t="shared" si="18"/>
        <v>3.88</v>
      </c>
      <c r="S20" s="169"/>
      <c r="T20" s="163"/>
      <c r="U20" s="319">
        <f>D20*2</f>
        <v>8</v>
      </c>
      <c r="V20" s="135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</row>
    <row r="21" spans="1:33" x14ac:dyDescent="0.2">
      <c r="A21" s="158" t="s">
        <v>432</v>
      </c>
      <c r="B21" s="168">
        <f t="shared" si="14"/>
        <v>0</v>
      </c>
      <c r="C21" s="167">
        <v>4</v>
      </c>
      <c r="D21" s="167">
        <v>4</v>
      </c>
      <c r="E21" s="167">
        <v>1</v>
      </c>
      <c r="F21" s="167">
        <v>2.0299999999999998</v>
      </c>
      <c r="G21" s="169">
        <f t="shared" si="15"/>
        <v>2.0299999999999998</v>
      </c>
      <c r="H21" s="169">
        <f t="shared" si="16"/>
        <v>0</v>
      </c>
      <c r="I21" s="170">
        <f t="shared" si="17"/>
        <v>8.1199999999999992</v>
      </c>
      <c r="J21" s="169">
        <f t="shared" si="29"/>
        <v>24.24</v>
      </c>
      <c r="K21" s="169">
        <f t="shared" si="30"/>
        <v>24.24</v>
      </c>
      <c r="L21" s="161">
        <f t="shared" si="19"/>
        <v>6.06</v>
      </c>
      <c r="M21" s="161">
        <f t="shared" si="36"/>
        <v>6.0719999999999992</v>
      </c>
      <c r="N21" s="169"/>
      <c r="O21" s="169"/>
      <c r="P21" s="169">
        <f t="shared" si="33"/>
        <v>20.239999999999998</v>
      </c>
      <c r="Q21" s="169">
        <f t="shared" si="34"/>
        <v>20.239999999999998</v>
      </c>
      <c r="R21" s="161">
        <f t="shared" si="18"/>
        <v>4</v>
      </c>
      <c r="S21" s="169"/>
      <c r="T21" s="163"/>
      <c r="U21" s="319"/>
      <c r="V21" s="135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</row>
    <row r="22" spans="1:33" x14ac:dyDescent="0.2">
      <c r="A22" s="158" t="s">
        <v>433</v>
      </c>
      <c r="B22" s="168">
        <f t="shared" si="14"/>
        <v>6</v>
      </c>
      <c r="C22" s="167">
        <v>6</v>
      </c>
      <c r="D22" s="167">
        <v>12</v>
      </c>
      <c r="E22" s="167">
        <v>0.7</v>
      </c>
      <c r="F22" s="167">
        <v>2.2000000000000002</v>
      </c>
      <c r="G22" s="169">
        <f t="shared" si="15"/>
        <v>1.54</v>
      </c>
      <c r="H22" s="169">
        <f t="shared" si="16"/>
        <v>9.24</v>
      </c>
      <c r="I22" s="170">
        <f t="shared" si="17"/>
        <v>9.24</v>
      </c>
      <c r="J22" s="169">
        <f t="shared" si="29"/>
        <v>69.600000000000009</v>
      </c>
      <c r="K22" s="169">
        <f t="shared" si="30"/>
        <v>34.800000000000004</v>
      </c>
      <c r="L22" s="161">
        <f t="shared" si="19"/>
        <v>17.400000000000002</v>
      </c>
      <c r="M22" s="161">
        <f t="shared" si="36"/>
        <v>9.18</v>
      </c>
      <c r="N22" s="169"/>
      <c r="O22" s="169"/>
      <c r="P22" s="169">
        <f t="shared" si="33"/>
        <v>61.2</v>
      </c>
      <c r="Q22" s="169">
        <f t="shared" si="34"/>
        <v>61.2</v>
      </c>
      <c r="R22" s="161">
        <f t="shared" si="18"/>
        <v>8.3999999999999986</v>
      </c>
      <c r="S22" s="169"/>
      <c r="T22" s="163"/>
      <c r="U22" s="319">
        <f>D22*2</f>
        <v>24</v>
      </c>
      <c r="V22" s="135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</row>
    <row r="23" spans="1:33" ht="12" thickBot="1" x14ac:dyDescent="0.25">
      <c r="A23" s="140"/>
      <c r="B23" s="141"/>
      <c r="C23" s="142">
        <f>SUM(C5:C22)</f>
        <v>87</v>
      </c>
      <c r="D23" s="142">
        <f>SUM(D5:D22)</f>
        <v>304</v>
      </c>
      <c r="E23" s="142"/>
      <c r="F23" s="142"/>
      <c r="G23" s="142">
        <f>SUM(G4:G22)</f>
        <v>38.059999999999995</v>
      </c>
      <c r="H23" s="142">
        <f>SUM(H4:H22)</f>
        <v>452.58050000000009</v>
      </c>
      <c r="I23" s="142">
        <f t="shared" ref="I23:S23" si="37">SUM(I4:I22)</f>
        <v>209.79750000000004</v>
      </c>
      <c r="J23" s="142">
        <f t="shared" si="37"/>
        <v>1783.44</v>
      </c>
      <c r="K23" s="142">
        <f t="shared" si="37"/>
        <v>527.97</v>
      </c>
      <c r="L23" s="142">
        <f t="shared" si="37"/>
        <v>445.86</v>
      </c>
      <c r="M23" s="142">
        <f t="shared" si="37"/>
        <v>148.58100000000002</v>
      </c>
      <c r="N23" s="142">
        <f t="shared" si="37"/>
        <v>92.815000000000012</v>
      </c>
      <c r="O23" s="142">
        <f t="shared" si="37"/>
        <v>402.48599999999993</v>
      </c>
      <c r="P23" s="142">
        <f t="shared" si="37"/>
        <v>1077.6399999999999</v>
      </c>
      <c r="Q23" s="142">
        <f t="shared" si="37"/>
        <v>1308.8399999999997</v>
      </c>
      <c r="R23" s="142">
        <f t="shared" si="37"/>
        <v>474.59999999999997</v>
      </c>
      <c r="S23" s="142">
        <f t="shared" si="37"/>
        <v>383.31999999999994</v>
      </c>
      <c r="T23" s="143"/>
      <c r="U23" s="320">
        <f>SUM(U4:U22)</f>
        <v>976</v>
      </c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</row>
    <row r="24" spans="1:33" x14ac:dyDescent="0.2">
      <c r="A24" s="144"/>
      <c r="D24" s="145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</row>
  </sheetData>
  <mergeCells count="13">
    <mergeCell ref="R2:R3"/>
    <mergeCell ref="S2:S3"/>
    <mergeCell ref="T2:T3"/>
    <mergeCell ref="J1:K1"/>
    <mergeCell ref="L1:M1"/>
    <mergeCell ref="N1:O1"/>
    <mergeCell ref="P1:T1"/>
    <mergeCell ref="Q2:Q3"/>
    <mergeCell ref="A2:A3"/>
    <mergeCell ref="B2:D2"/>
    <mergeCell ref="E2:F2"/>
    <mergeCell ref="G2:I2"/>
    <mergeCell ref="P2:P3"/>
  </mergeCells>
  <phoneticPr fontId="2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>
    <pageSetUpPr fitToPage="1"/>
  </sheetPr>
  <dimension ref="A1:I50"/>
  <sheetViews>
    <sheetView view="pageBreakPreview" zoomScaleNormal="100" zoomScaleSheetLayoutView="100" workbookViewId="0">
      <selection activeCell="E30" sqref="E30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333"/>
      <c r="H1" s="333"/>
      <c r="I1" s="333"/>
    </row>
    <row r="2" spans="1:9" x14ac:dyDescent="0.2">
      <c r="A2" s="373" t="s">
        <v>16</v>
      </c>
      <c r="B2" s="373"/>
      <c r="C2" s="373"/>
      <c r="D2" s="373"/>
      <c r="E2" s="373"/>
      <c r="F2" s="373"/>
      <c r="G2" s="373"/>
      <c r="H2" s="373"/>
      <c r="I2" s="373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374" t="s">
        <v>17</v>
      </c>
      <c r="D4" s="374"/>
      <c r="E4" s="374"/>
      <c r="F4" s="374"/>
      <c r="G4" s="374"/>
      <c r="H4" s="374"/>
      <c r="I4" s="374"/>
    </row>
    <row r="5" spans="1:9" ht="11.25" customHeight="1" x14ac:dyDescent="0.2">
      <c r="A5" s="89"/>
      <c r="B5" s="89"/>
      <c r="C5" s="376" t="s">
        <v>52</v>
      </c>
      <c r="D5" s="376"/>
      <c r="E5" s="376"/>
      <c r="F5" s="376"/>
      <c r="G5" s="376"/>
      <c r="H5" s="376"/>
      <c r="I5" s="376"/>
    </row>
    <row r="6" spans="1:9" x14ac:dyDescent="0.2">
      <c r="A6" s="372" t="s">
        <v>18</v>
      </c>
      <c r="B6" s="372"/>
      <c r="C6" s="372"/>
      <c r="D6" s="375" t="str">
        <f>'Kopt a'!B13</f>
        <v>Daudzdzīvokļu dzīvojamā ēka</v>
      </c>
      <c r="E6" s="375"/>
      <c r="F6" s="375"/>
      <c r="G6" s="375"/>
      <c r="H6" s="375"/>
      <c r="I6" s="375"/>
    </row>
    <row r="7" spans="1:9" x14ac:dyDescent="0.2">
      <c r="A7" s="372" t="s">
        <v>6</v>
      </c>
      <c r="B7" s="372"/>
      <c r="C7" s="372"/>
      <c r="D7" s="366" t="str">
        <f>'Kopt a'!B14</f>
        <v>Daudzdzīvokļu dzīvojamās ēkas energoefektivitātes paaugstināšanas pasākumi</v>
      </c>
      <c r="E7" s="366"/>
      <c r="F7" s="366"/>
      <c r="G7" s="366"/>
      <c r="H7" s="366"/>
      <c r="I7" s="366"/>
    </row>
    <row r="8" spans="1:9" x14ac:dyDescent="0.2">
      <c r="A8" s="365" t="s">
        <v>19</v>
      </c>
      <c r="B8" s="365"/>
      <c r="C8" s="365"/>
      <c r="D8" s="366" t="str">
        <f>'Kopt a'!B15</f>
        <v>Rojas iela 2, Liepāja</v>
      </c>
      <c r="E8" s="366"/>
      <c r="F8" s="366"/>
      <c r="G8" s="366"/>
      <c r="H8" s="366"/>
      <c r="I8" s="366"/>
    </row>
    <row r="9" spans="1:9" x14ac:dyDescent="0.2">
      <c r="A9" s="365" t="s">
        <v>20</v>
      </c>
      <c r="B9" s="365"/>
      <c r="C9" s="365"/>
      <c r="D9" s="366" t="str">
        <f>'Kopt a'!B16</f>
        <v>WS-54-15</v>
      </c>
      <c r="E9" s="366"/>
      <c r="F9" s="366"/>
      <c r="G9" s="366"/>
      <c r="H9" s="366"/>
      <c r="I9" s="366"/>
    </row>
    <row r="10" spans="1:9" x14ac:dyDescent="0.2">
      <c r="C10" s="4" t="s">
        <v>21</v>
      </c>
      <c r="D10" s="367">
        <f>E27</f>
        <v>0</v>
      </c>
      <c r="E10" s="367"/>
      <c r="F10" s="82"/>
      <c r="G10" s="82"/>
      <c r="H10" s="82"/>
      <c r="I10" s="82"/>
    </row>
    <row r="11" spans="1:9" x14ac:dyDescent="0.2">
      <c r="C11" s="4" t="s">
        <v>22</v>
      </c>
      <c r="D11" s="367">
        <f>I23</f>
        <v>0</v>
      </c>
      <c r="E11" s="367"/>
      <c r="F11" s="82"/>
      <c r="G11" s="82"/>
      <c r="H11" s="82"/>
      <c r="I11" s="82"/>
    </row>
    <row r="12" spans="1:9" ht="12" thickBot="1" x14ac:dyDescent="0.25">
      <c r="F12" s="18"/>
      <c r="G12" s="18"/>
      <c r="H12" s="18"/>
      <c r="I12" s="18"/>
    </row>
    <row r="13" spans="1:9" x14ac:dyDescent="0.2">
      <c r="A13" s="368" t="s">
        <v>23</v>
      </c>
      <c r="B13" s="370" t="s">
        <v>24</v>
      </c>
      <c r="C13" s="355" t="s">
        <v>25</v>
      </c>
      <c r="D13" s="356"/>
      <c r="E13" s="359" t="s">
        <v>26</v>
      </c>
      <c r="F13" s="353" t="s">
        <v>27</v>
      </c>
      <c r="G13" s="354"/>
      <c r="H13" s="354"/>
      <c r="I13" s="363" t="s">
        <v>28</v>
      </c>
    </row>
    <row r="14" spans="1:9" ht="23.25" thickBot="1" x14ac:dyDescent="0.25">
      <c r="A14" s="369"/>
      <c r="B14" s="371"/>
      <c r="C14" s="357"/>
      <c r="D14" s="358"/>
      <c r="E14" s="360"/>
      <c r="F14" s="19" t="s">
        <v>29</v>
      </c>
      <c r="G14" s="20" t="s">
        <v>30</v>
      </c>
      <c r="H14" s="20" t="s">
        <v>31</v>
      </c>
      <c r="I14" s="364"/>
    </row>
    <row r="15" spans="1:9" x14ac:dyDescent="0.2">
      <c r="A15" s="77">
        <v>1</v>
      </c>
      <c r="B15" s="24" t="str">
        <f>IF(A15=0,0,CONCATENATE("Lt-",A15))</f>
        <v>Lt-1</v>
      </c>
      <c r="C15" s="361" t="str">
        <f>'1a'!C2:I2</f>
        <v>Ārsienu siltināšanas darbi</v>
      </c>
      <c r="D15" s="362"/>
      <c r="E15" s="60">
        <f>'1a'!P89</f>
        <v>0</v>
      </c>
      <c r="F15" s="55">
        <f>'1a'!M89</f>
        <v>0</v>
      </c>
      <c r="G15" s="56">
        <f>'1a'!N89</f>
        <v>0</v>
      </c>
      <c r="H15" s="56">
        <f>'1a'!O89</f>
        <v>0</v>
      </c>
      <c r="I15" s="57">
        <f>'1a'!L89</f>
        <v>0</v>
      </c>
    </row>
    <row r="16" spans="1:9" x14ac:dyDescent="0.2">
      <c r="A16" s="78">
        <v>2</v>
      </c>
      <c r="B16" s="25" t="str">
        <f>IF(A16=0,0,CONCATENATE("Lt-",A16))</f>
        <v>Lt-2</v>
      </c>
      <c r="C16" s="351" t="str">
        <f>'2a'!C2:I2</f>
        <v>Logu un durvju nomaiņa</v>
      </c>
      <c r="D16" s="352"/>
      <c r="E16" s="61">
        <f>'2a'!P52</f>
        <v>0</v>
      </c>
      <c r="F16" s="46">
        <f>'2a'!M52</f>
        <v>0</v>
      </c>
      <c r="G16" s="58">
        <f>'2a'!N52</f>
        <v>0</v>
      </c>
      <c r="H16" s="58">
        <f>'2a'!O52</f>
        <v>0</v>
      </c>
      <c r="I16" s="59">
        <f>'2a'!L52</f>
        <v>0</v>
      </c>
    </row>
    <row r="17" spans="1:9" x14ac:dyDescent="0.2">
      <c r="A17" s="78">
        <v>3</v>
      </c>
      <c r="B17" s="25" t="str">
        <f t="shared" ref="B17:B22" si="0">IF(A17=0,0,CONCATENATE("Lt-",A17))</f>
        <v>Lt-3</v>
      </c>
      <c r="C17" s="351" t="str">
        <f>'3a'!C2:I2</f>
        <v>Cokola siltināšanas darbi</v>
      </c>
      <c r="D17" s="352"/>
      <c r="E17" s="62">
        <f>'3a'!P46</f>
        <v>0</v>
      </c>
      <c r="F17" s="46">
        <f>'3a'!M46</f>
        <v>0</v>
      </c>
      <c r="G17" s="58">
        <f>'3a'!N46</f>
        <v>0</v>
      </c>
      <c r="H17" s="58">
        <f>'3a'!O46</f>
        <v>0</v>
      </c>
      <c r="I17" s="59">
        <f>'3a'!L46</f>
        <v>0</v>
      </c>
    </row>
    <row r="18" spans="1:9" ht="11.25" customHeight="1" x14ac:dyDescent="0.2">
      <c r="A18" s="78">
        <v>4</v>
      </c>
      <c r="B18" s="25" t="str">
        <f t="shared" si="0"/>
        <v>Lt-4</v>
      </c>
      <c r="C18" s="351" t="str">
        <f>'4a'!C2:I2</f>
        <v>Ieejas mezglu pārbūves darbi</v>
      </c>
      <c r="D18" s="352"/>
      <c r="E18" s="62">
        <f>'4a'!P78</f>
        <v>0</v>
      </c>
      <c r="F18" s="46">
        <f>'4a'!M78</f>
        <v>0</v>
      </c>
      <c r="G18" s="58">
        <f>'4a'!N78</f>
        <v>0</v>
      </c>
      <c r="H18" s="58">
        <f>'4a'!O78</f>
        <v>0</v>
      </c>
      <c r="I18" s="59">
        <f>'4a'!L78</f>
        <v>0</v>
      </c>
    </row>
    <row r="19" spans="1:9" x14ac:dyDescent="0.2">
      <c r="A19" s="78">
        <v>5</v>
      </c>
      <c r="B19" s="25" t="str">
        <f t="shared" si="0"/>
        <v>Lt-5</v>
      </c>
      <c r="C19" s="351" t="str">
        <f>'5a'!C2:I2</f>
        <v>Pagraba pārseguma siltināšanas darbi</v>
      </c>
      <c r="D19" s="352"/>
      <c r="E19" s="62">
        <f>'5a'!P20</f>
        <v>0</v>
      </c>
      <c r="F19" s="46">
        <f>'5a'!M20</f>
        <v>0</v>
      </c>
      <c r="G19" s="58">
        <f>'5a'!N20</f>
        <v>0</v>
      </c>
      <c r="H19" s="58">
        <f>'5a'!O20</f>
        <v>0</v>
      </c>
      <c r="I19" s="59">
        <f>'5a'!L20</f>
        <v>0</v>
      </c>
    </row>
    <row r="20" spans="1:9" x14ac:dyDescent="0.2">
      <c r="A20" s="78">
        <v>6</v>
      </c>
      <c r="B20" s="25" t="str">
        <f t="shared" si="0"/>
        <v>Lt-6</v>
      </c>
      <c r="C20" s="351" t="str">
        <f>'6a'!C2:I2</f>
        <v>Bēniņu siltināšanas darbi</v>
      </c>
      <c r="D20" s="352"/>
      <c r="E20" s="62">
        <f>'6a'!P30</f>
        <v>0</v>
      </c>
      <c r="F20" s="46">
        <f>'6a'!M30</f>
        <v>0</v>
      </c>
      <c r="G20" s="58">
        <f>'6a'!N30</f>
        <v>0</v>
      </c>
      <c r="H20" s="58">
        <f>'6a'!O30</f>
        <v>0</v>
      </c>
      <c r="I20" s="59">
        <f>'6a'!L30</f>
        <v>0</v>
      </c>
    </row>
    <row r="21" spans="1:9" x14ac:dyDescent="0.2">
      <c r="A21" s="78">
        <v>7</v>
      </c>
      <c r="B21" s="25" t="str">
        <f t="shared" si="0"/>
        <v>Lt-7</v>
      </c>
      <c r="C21" s="351" t="str">
        <f>'7a'!C2:I2</f>
        <v>Jumta rekonstrukcijas darbi</v>
      </c>
      <c r="D21" s="352"/>
      <c r="E21" s="62">
        <f>'7a'!P106</f>
        <v>0</v>
      </c>
      <c r="F21" s="46">
        <f>'7a'!M106</f>
        <v>0</v>
      </c>
      <c r="G21" s="58">
        <f>'7a'!N106</f>
        <v>0</v>
      </c>
      <c r="H21" s="58">
        <f>'7a'!O106</f>
        <v>0</v>
      </c>
      <c r="I21" s="59">
        <f>'7a'!L106</f>
        <v>0</v>
      </c>
    </row>
    <row r="22" spans="1:9" ht="12" thickBot="1" x14ac:dyDescent="0.25">
      <c r="A22" s="78">
        <v>8</v>
      </c>
      <c r="B22" s="25" t="str">
        <f t="shared" si="0"/>
        <v>Lt-8</v>
      </c>
      <c r="C22" s="351" t="str">
        <f>'8a'!C2:I2</f>
        <v>Ēkas apkure, iekšējie tīkli</v>
      </c>
      <c r="D22" s="352"/>
      <c r="E22" s="62">
        <f>'8a'!P155</f>
        <v>0</v>
      </c>
      <c r="F22" s="46">
        <f>'8a'!M155</f>
        <v>0</v>
      </c>
      <c r="G22" s="58">
        <f>'8a'!N155</f>
        <v>0</v>
      </c>
      <c r="H22" s="58">
        <f>'8a'!O155</f>
        <v>0</v>
      </c>
      <c r="I22" s="59">
        <f>'8a'!L155</f>
        <v>0</v>
      </c>
    </row>
    <row r="23" spans="1:9" ht="12" thickBot="1" x14ac:dyDescent="0.25">
      <c r="A23" s="337" t="s">
        <v>32</v>
      </c>
      <c r="B23" s="338"/>
      <c r="C23" s="338"/>
      <c r="D23" s="338"/>
      <c r="E23" s="41">
        <f>SUM(E15:E22)</f>
        <v>0</v>
      </c>
      <c r="F23" s="40">
        <f>SUM(F15:F22)</f>
        <v>0</v>
      </c>
      <c r="G23" s="40">
        <f>SUM(G15:G22)</f>
        <v>0</v>
      </c>
      <c r="H23" s="40">
        <f>SUM(H15:H22)</f>
        <v>0</v>
      </c>
      <c r="I23" s="41">
        <f>SUM(I15:I22)</f>
        <v>0</v>
      </c>
    </row>
    <row r="24" spans="1:9" x14ac:dyDescent="0.2">
      <c r="A24" s="339" t="s">
        <v>33</v>
      </c>
      <c r="B24" s="340"/>
      <c r="C24" s="341"/>
      <c r="D24" s="74"/>
      <c r="E24" s="42">
        <f>ROUND(E23*$D24,2)</f>
        <v>0</v>
      </c>
      <c r="F24" s="43"/>
      <c r="G24" s="43"/>
      <c r="H24" s="43"/>
      <c r="I24" s="43"/>
    </row>
    <row r="25" spans="1:9" x14ac:dyDescent="0.2">
      <c r="A25" s="342" t="s">
        <v>34</v>
      </c>
      <c r="B25" s="343"/>
      <c r="C25" s="344"/>
      <c r="D25" s="75"/>
      <c r="E25" s="44">
        <f>ROUND(E24*$D25,2)</f>
        <v>0</v>
      </c>
      <c r="F25" s="43"/>
      <c r="G25" s="43"/>
      <c r="H25" s="43"/>
      <c r="I25" s="43"/>
    </row>
    <row r="26" spans="1:9" x14ac:dyDescent="0.2">
      <c r="A26" s="345" t="s">
        <v>35</v>
      </c>
      <c r="B26" s="346"/>
      <c r="C26" s="347"/>
      <c r="D26" s="76"/>
      <c r="E26" s="44">
        <f>ROUND(E23*$D26,2)</f>
        <v>0</v>
      </c>
      <c r="F26" s="43"/>
      <c r="G26" s="43"/>
      <c r="H26" s="43"/>
      <c r="I26" s="43"/>
    </row>
    <row r="27" spans="1:9" ht="12" thickBot="1" x14ac:dyDescent="0.25">
      <c r="A27" s="348" t="s">
        <v>36</v>
      </c>
      <c r="B27" s="349"/>
      <c r="C27" s="350"/>
      <c r="D27" s="22"/>
      <c r="E27" s="45">
        <f>SUM(E23:E26)-E25</f>
        <v>0</v>
      </c>
      <c r="F27" s="43"/>
      <c r="G27" s="43"/>
      <c r="H27" s="43"/>
      <c r="I27" s="43"/>
    </row>
    <row r="28" spans="1:9" ht="12" thickBot="1" x14ac:dyDescent="0.25">
      <c r="C28" s="96" t="s">
        <v>62</v>
      </c>
      <c r="D28" s="51">
        <v>0.02</v>
      </c>
      <c r="E28" s="1">
        <f>ROUND(E27*D28,2)</f>
        <v>0</v>
      </c>
      <c r="G28" s="21"/>
    </row>
    <row r="29" spans="1:9" ht="12" thickBot="1" x14ac:dyDescent="0.25">
      <c r="C29" s="96" t="s">
        <v>63</v>
      </c>
      <c r="D29" s="17"/>
      <c r="E29" s="327">
        <f>E28+E27</f>
        <v>0</v>
      </c>
      <c r="F29" s="23"/>
      <c r="G29" s="23"/>
      <c r="H29" s="23"/>
      <c r="I29" s="23"/>
    </row>
    <row r="32" spans="1:9" ht="9.9499999999999993" customHeight="1" x14ac:dyDescent="0.2">
      <c r="A32" s="1" t="s">
        <v>14</v>
      </c>
      <c r="B32" s="17"/>
      <c r="C32" s="336"/>
      <c r="D32" s="336"/>
      <c r="E32" s="336"/>
      <c r="F32" s="336"/>
      <c r="G32" s="336"/>
      <c r="H32" s="336"/>
    </row>
    <row r="33" spans="1:8" x14ac:dyDescent="0.2">
      <c r="A33" s="17"/>
      <c r="B33" s="17"/>
      <c r="C33" s="331" t="s">
        <v>15</v>
      </c>
      <c r="D33" s="331"/>
      <c r="E33" s="331"/>
      <c r="F33" s="331"/>
      <c r="G33" s="331"/>
      <c r="H33" s="331"/>
    </row>
    <row r="34" spans="1:8" x14ac:dyDescent="0.2">
      <c r="A34" s="17"/>
      <c r="B34" s="17"/>
      <c r="C34" s="17"/>
      <c r="D34" s="17"/>
      <c r="E34" s="17"/>
      <c r="F34" s="17"/>
      <c r="G34" s="17"/>
      <c r="H34" s="17"/>
    </row>
    <row r="35" spans="1:8" x14ac:dyDescent="0.2">
      <c r="A35" s="90" t="str">
        <f>'Kopt a'!A36</f>
        <v>Tāme sastādīta 2021. gada</v>
      </c>
      <c r="B35" s="91"/>
      <c r="C35" s="91"/>
      <c r="D35" s="91"/>
      <c r="F35" s="17"/>
      <c r="G35" s="17"/>
      <c r="H35" s="17"/>
    </row>
    <row r="36" spans="1:8" x14ac:dyDescent="0.2">
      <c r="A36" s="17"/>
      <c r="B36" s="17"/>
      <c r="C36" s="17"/>
      <c r="D36" s="17"/>
      <c r="E36" s="17"/>
      <c r="F36" s="17"/>
      <c r="G36" s="17"/>
      <c r="H36" s="17"/>
    </row>
    <row r="37" spans="1:8" x14ac:dyDescent="0.2">
      <c r="A37" s="1" t="s">
        <v>37</v>
      </c>
      <c r="B37" s="17"/>
      <c r="C37" s="336"/>
      <c r="D37" s="336"/>
      <c r="E37" s="336"/>
      <c r="F37" s="336"/>
      <c r="G37" s="336"/>
      <c r="H37" s="336"/>
    </row>
    <row r="38" spans="1:8" x14ac:dyDescent="0.2">
      <c r="A38" s="17"/>
      <c r="B38" s="17"/>
      <c r="C38" s="331" t="s">
        <v>15</v>
      </c>
      <c r="D38" s="331"/>
      <c r="E38" s="331"/>
      <c r="F38" s="331"/>
      <c r="G38" s="331"/>
      <c r="H38" s="331"/>
    </row>
    <row r="39" spans="1:8" x14ac:dyDescent="0.2">
      <c r="A39" s="17"/>
      <c r="B39" s="17"/>
      <c r="C39" s="17"/>
      <c r="D39" s="17"/>
      <c r="E39" s="17"/>
      <c r="F39" s="17"/>
      <c r="G39" s="17"/>
      <c r="H39" s="17"/>
    </row>
    <row r="40" spans="1:8" x14ac:dyDescent="0.2">
      <c r="A40" s="90" t="s">
        <v>53</v>
      </c>
      <c r="B40" s="91"/>
      <c r="C40" s="95"/>
      <c r="D40" s="91"/>
      <c r="F40" s="17"/>
      <c r="G40" s="17"/>
      <c r="H40" s="17"/>
    </row>
    <row r="50" spans="5:9" x14ac:dyDescent="0.2">
      <c r="E50" s="21"/>
      <c r="F50" s="21"/>
      <c r="G50" s="21"/>
      <c r="H50" s="21"/>
      <c r="I50" s="21"/>
    </row>
  </sheetData>
  <mergeCells count="37">
    <mergeCell ref="A7:C7"/>
    <mergeCell ref="D7:I7"/>
    <mergeCell ref="G1:I1"/>
    <mergeCell ref="A2:I2"/>
    <mergeCell ref="C4:I4"/>
    <mergeCell ref="A6:C6"/>
    <mergeCell ref="D6:I6"/>
    <mergeCell ref="C5:I5"/>
    <mergeCell ref="I13:I14"/>
    <mergeCell ref="A8:C8"/>
    <mergeCell ref="D8:I8"/>
    <mergeCell ref="A9:C9"/>
    <mergeCell ref="D9:I9"/>
    <mergeCell ref="D10:E10"/>
    <mergeCell ref="D11:E11"/>
    <mergeCell ref="A13:A14"/>
    <mergeCell ref="B13:B14"/>
    <mergeCell ref="C16:D16"/>
    <mergeCell ref="C17:D17"/>
    <mergeCell ref="C18:D18"/>
    <mergeCell ref="C19:D19"/>
    <mergeCell ref="F13:H13"/>
    <mergeCell ref="C13:D14"/>
    <mergeCell ref="E13:E14"/>
    <mergeCell ref="C15:D15"/>
    <mergeCell ref="C21:D21"/>
    <mergeCell ref="C22:D22"/>
    <mergeCell ref="C32:H32"/>
    <mergeCell ref="C33:H33"/>
    <mergeCell ref="C20:D20"/>
    <mergeCell ref="C37:H37"/>
    <mergeCell ref="C38:H38"/>
    <mergeCell ref="A23:D23"/>
    <mergeCell ref="A24:C24"/>
    <mergeCell ref="A25:C25"/>
    <mergeCell ref="A26:C26"/>
    <mergeCell ref="A27:C27"/>
  </mergeCells>
  <conditionalFormatting sqref="E23:I23">
    <cfRule type="cellIs" dxfId="172" priority="19" operator="equal">
      <formula>0</formula>
    </cfRule>
  </conditionalFormatting>
  <conditionalFormatting sqref="D10:E11">
    <cfRule type="cellIs" dxfId="171" priority="18" operator="equal">
      <formula>0</formula>
    </cfRule>
  </conditionalFormatting>
  <conditionalFormatting sqref="E15 C15:D22 E24:E27 I15:I22">
    <cfRule type="cellIs" dxfId="170" priority="16" operator="equal">
      <formula>0</formula>
    </cfRule>
  </conditionalFormatting>
  <conditionalFormatting sqref="D24:D26">
    <cfRule type="cellIs" dxfId="169" priority="14" operator="equal">
      <formula>0</formula>
    </cfRule>
  </conditionalFormatting>
  <conditionalFormatting sqref="C37:H37">
    <cfRule type="cellIs" dxfId="168" priority="11" operator="equal">
      <formula>0</formula>
    </cfRule>
  </conditionalFormatting>
  <conditionalFormatting sqref="C32:H32">
    <cfRule type="cellIs" dxfId="167" priority="10" operator="equal">
      <formula>0</formula>
    </cfRule>
  </conditionalFormatting>
  <conditionalFormatting sqref="E15:E22">
    <cfRule type="cellIs" dxfId="166" priority="8" operator="equal">
      <formula>0</formula>
    </cfRule>
  </conditionalFormatting>
  <conditionalFormatting sqref="F15:I22">
    <cfRule type="cellIs" dxfId="165" priority="7" operator="equal">
      <formula>0</formula>
    </cfRule>
  </conditionalFormatting>
  <conditionalFormatting sqref="D6:I9">
    <cfRule type="cellIs" dxfId="164" priority="6" operator="equal">
      <formula>0</formula>
    </cfRule>
  </conditionalFormatting>
  <conditionalFormatting sqref="C40">
    <cfRule type="cellIs" dxfId="163" priority="4" operator="equal">
      <formula>0</formula>
    </cfRule>
  </conditionalFormatting>
  <conditionalFormatting sqref="B15:B22">
    <cfRule type="cellIs" dxfId="162" priority="3" operator="equal">
      <formula>0</formula>
    </cfRule>
  </conditionalFormatting>
  <conditionalFormatting sqref="A15:A22">
    <cfRule type="cellIs" dxfId="161" priority="1" operator="equal">
      <formula>0</formula>
    </cfRule>
  </conditionalFormatting>
  <pageMargins left="0.7" right="0.7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A35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>
    <tabColor rgb="FFFF0000"/>
    <pageSetUpPr fitToPage="1"/>
  </sheetPr>
  <dimension ref="A1:P104"/>
  <sheetViews>
    <sheetView view="pageBreakPreview" topLeftCell="A13" zoomScaleNormal="100" zoomScaleSheetLayoutView="100" zoomScalePageLayoutView="85" workbookViewId="0">
      <selection activeCell="A90" sqref="A90"/>
    </sheetView>
  </sheetViews>
  <sheetFormatPr defaultColWidth="9.140625" defaultRowHeight="11.25" x14ac:dyDescent="0.2"/>
  <cols>
    <col min="1" max="1" width="4.5703125" style="179" customWidth="1"/>
    <col min="2" max="2" width="5.28515625" style="179" customWidth="1"/>
    <col min="3" max="3" width="38.42578125" style="179" customWidth="1"/>
    <col min="4" max="4" width="5.85546875" style="179" customWidth="1"/>
    <col min="5" max="5" width="8.7109375" style="179" customWidth="1"/>
    <col min="6" max="6" width="5.42578125" style="179" customWidth="1"/>
    <col min="7" max="7" width="4.85546875" style="179" customWidth="1"/>
    <col min="8" max="10" width="6.7109375" style="179" customWidth="1"/>
    <col min="11" max="11" width="7" style="179" customWidth="1"/>
    <col min="12" max="15" width="7.7109375" style="179" customWidth="1"/>
    <col min="16" max="16" width="9" style="179" customWidth="1"/>
    <col min="17" max="16384" width="9.140625" style="179"/>
  </cols>
  <sheetData>
    <row r="1" spans="1:16" x14ac:dyDescent="0.2">
      <c r="A1" s="176"/>
      <c r="B1" s="176"/>
      <c r="C1" s="177" t="s">
        <v>38</v>
      </c>
      <c r="D1" s="178">
        <f>'Kops a'!A15</f>
        <v>1</v>
      </c>
      <c r="E1" s="176"/>
      <c r="F1" s="176"/>
      <c r="G1" s="176"/>
      <c r="H1" s="176"/>
      <c r="I1" s="176"/>
      <c r="J1" s="176"/>
      <c r="N1" s="180"/>
      <c r="O1" s="177"/>
      <c r="P1" s="181"/>
    </row>
    <row r="2" spans="1:16" x14ac:dyDescent="0.2">
      <c r="A2" s="176"/>
      <c r="B2" s="176"/>
      <c r="C2" s="386" t="s">
        <v>64</v>
      </c>
      <c r="D2" s="386"/>
      <c r="E2" s="386"/>
      <c r="F2" s="386"/>
      <c r="G2" s="386"/>
      <c r="H2" s="386"/>
      <c r="I2" s="386"/>
      <c r="J2" s="176"/>
    </row>
    <row r="3" spans="1:16" x14ac:dyDescent="0.2">
      <c r="A3" s="212"/>
      <c r="B3" s="212"/>
      <c r="C3" s="387" t="s">
        <v>17</v>
      </c>
      <c r="D3" s="387"/>
      <c r="E3" s="387"/>
      <c r="F3" s="387"/>
      <c r="G3" s="387"/>
      <c r="H3" s="387"/>
      <c r="I3" s="387"/>
      <c r="J3" s="212"/>
    </row>
    <row r="4" spans="1:16" x14ac:dyDescent="0.2">
      <c r="A4" s="212"/>
      <c r="B4" s="212"/>
      <c r="C4" s="388" t="s">
        <v>52</v>
      </c>
      <c r="D4" s="388"/>
      <c r="E4" s="388"/>
      <c r="F4" s="388"/>
      <c r="G4" s="388"/>
      <c r="H4" s="388"/>
      <c r="I4" s="388"/>
      <c r="J4" s="212"/>
    </row>
    <row r="5" spans="1:16" ht="11.25" customHeight="1" x14ac:dyDescent="0.2">
      <c r="A5" s="176"/>
      <c r="B5" s="176"/>
      <c r="C5" s="177" t="s">
        <v>5</v>
      </c>
      <c r="D5" s="377" t="str">
        <f>'Kops a'!D6</f>
        <v>Daudzdzīvokļu dzīvojamā ēka</v>
      </c>
      <c r="E5" s="377"/>
      <c r="F5" s="377"/>
      <c r="G5" s="377"/>
      <c r="H5" s="377"/>
      <c r="I5" s="377"/>
      <c r="J5" s="377"/>
      <c r="K5" s="377"/>
      <c r="L5" s="377"/>
      <c r="M5" s="182"/>
      <c r="N5" s="182"/>
      <c r="O5" s="182"/>
      <c r="P5" s="182"/>
    </row>
    <row r="6" spans="1:16" x14ac:dyDescent="0.2">
      <c r="A6" s="176"/>
      <c r="B6" s="176"/>
      <c r="C6" s="177" t="s">
        <v>6</v>
      </c>
      <c r="D6" s="377" t="str">
        <f>'Kops a'!D7</f>
        <v>Daudzdzīvokļu dzīvojamās ēkas energoefektivitātes paaugstināšanas pasākumi</v>
      </c>
      <c r="E6" s="377"/>
      <c r="F6" s="377"/>
      <c r="G6" s="377"/>
      <c r="H6" s="377"/>
      <c r="I6" s="377"/>
      <c r="J6" s="377"/>
      <c r="K6" s="377"/>
      <c r="L6" s="377"/>
      <c r="M6" s="182"/>
      <c r="N6" s="182"/>
      <c r="O6" s="182"/>
      <c r="P6" s="182"/>
    </row>
    <row r="7" spans="1:16" x14ac:dyDescent="0.2">
      <c r="A7" s="176"/>
      <c r="B7" s="176"/>
      <c r="C7" s="177" t="s">
        <v>7</v>
      </c>
      <c r="D7" s="377" t="str">
        <f>'Kops a'!D8</f>
        <v>Rojas iela 2, Liepāja</v>
      </c>
      <c r="E7" s="377"/>
      <c r="F7" s="377"/>
      <c r="G7" s="377"/>
      <c r="H7" s="377"/>
      <c r="I7" s="377"/>
      <c r="J7" s="377"/>
      <c r="K7" s="377"/>
      <c r="L7" s="377"/>
      <c r="M7" s="182"/>
      <c r="N7" s="182"/>
      <c r="O7" s="182"/>
      <c r="P7" s="182"/>
    </row>
    <row r="8" spans="1:16" x14ac:dyDescent="0.2">
      <c r="A8" s="176"/>
      <c r="B8" s="176"/>
      <c r="C8" s="183" t="s">
        <v>20</v>
      </c>
      <c r="D8" s="377" t="str">
        <f>'Kops a'!D9</f>
        <v>WS-54-15</v>
      </c>
      <c r="E8" s="377"/>
      <c r="F8" s="377"/>
      <c r="G8" s="377"/>
      <c r="H8" s="377"/>
      <c r="I8" s="377"/>
      <c r="J8" s="377"/>
      <c r="K8" s="377"/>
      <c r="L8" s="377"/>
      <c r="M8" s="182"/>
      <c r="N8" s="182"/>
      <c r="O8" s="182"/>
      <c r="P8" s="182"/>
    </row>
    <row r="9" spans="1:16" ht="11.25" customHeight="1" x14ac:dyDescent="0.2">
      <c r="A9" s="389" t="s">
        <v>513</v>
      </c>
      <c r="B9" s="389"/>
      <c r="C9" s="389"/>
      <c r="D9" s="389"/>
      <c r="E9" s="389"/>
      <c r="F9" s="389"/>
      <c r="G9" s="184"/>
      <c r="H9" s="184"/>
      <c r="I9" s="184"/>
      <c r="J9" s="393" t="s">
        <v>39</v>
      </c>
      <c r="K9" s="393"/>
      <c r="L9" s="393"/>
      <c r="M9" s="393"/>
      <c r="N9" s="401">
        <f>P89</f>
        <v>0</v>
      </c>
      <c r="O9" s="401"/>
      <c r="P9" s="184"/>
    </row>
    <row r="10" spans="1:16" x14ac:dyDescent="0.2">
      <c r="A10" s="185"/>
      <c r="B10" s="186"/>
      <c r="C10" s="183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O10" s="187"/>
      <c r="P10" s="188" t="str">
        <f>A95</f>
        <v>Tāme sastādīta 2021. gada</v>
      </c>
    </row>
    <row r="11" spans="1:16" ht="12" thickBot="1" x14ac:dyDescent="0.25">
      <c r="A11" s="185"/>
      <c r="B11" s="186"/>
      <c r="C11" s="183"/>
      <c r="D11" s="176"/>
      <c r="E11" s="176"/>
      <c r="F11" s="176"/>
      <c r="G11" s="176"/>
      <c r="H11" s="176"/>
      <c r="I11" s="176"/>
      <c r="J11" s="176"/>
      <c r="K11" s="176"/>
      <c r="L11" s="177"/>
      <c r="M11" s="177"/>
      <c r="N11" s="189"/>
      <c r="O11" s="180"/>
      <c r="P11" s="176"/>
    </row>
    <row r="12" spans="1:16" x14ac:dyDescent="0.2">
      <c r="A12" s="394" t="s">
        <v>23</v>
      </c>
      <c r="B12" s="396" t="s">
        <v>40</v>
      </c>
      <c r="C12" s="391" t="s">
        <v>41</v>
      </c>
      <c r="D12" s="399" t="s">
        <v>42</v>
      </c>
      <c r="E12" s="378" t="s">
        <v>43</v>
      </c>
      <c r="F12" s="390" t="s">
        <v>44</v>
      </c>
      <c r="G12" s="391"/>
      <c r="H12" s="391"/>
      <c r="I12" s="391"/>
      <c r="J12" s="391"/>
      <c r="K12" s="392"/>
      <c r="L12" s="390" t="s">
        <v>45</v>
      </c>
      <c r="M12" s="391"/>
      <c r="N12" s="391"/>
      <c r="O12" s="391"/>
      <c r="P12" s="392"/>
    </row>
    <row r="13" spans="1:16" ht="126.75" customHeight="1" thickBot="1" x14ac:dyDescent="0.25">
      <c r="A13" s="395"/>
      <c r="B13" s="397"/>
      <c r="C13" s="398"/>
      <c r="D13" s="400"/>
      <c r="E13" s="379"/>
      <c r="F13" s="190" t="s">
        <v>46</v>
      </c>
      <c r="G13" s="191" t="s">
        <v>47</v>
      </c>
      <c r="H13" s="191" t="s">
        <v>48</v>
      </c>
      <c r="I13" s="191" t="s">
        <v>49</v>
      </c>
      <c r="J13" s="191" t="s">
        <v>50</v>
      </c>
      <c r="K13" s="213" t="s">
        <v>51</v>
      </c>
      <c r="L13" s="190" t="s">
        <v>46</v>
      </c>
      <c r="M13" s="191" t="s">
        <v>48</v>
      </c>
      <c r="N13" s="191" t="s">
        <v>49</v>
      </c>
      <c r="O13" s="191" t="s">
        <v>50</v>
      </c>
      <c r="P13" s="213" t="s">
        <v>51</v>
      </c>
    </row>
    <row r="14" spans="1:16" x14ac:dyDescent="0.2">
      <c r="A14" s="192">
        <f>IF(COUNTBLANK(B14)=1," ",COUNTA(B$14:B14))</f>
        <v>1</v>
      </c>
      <c r="B14" s="193" t="s">
        <v>65</v>
      </c>
      <c r="C14" s="194" t="s">
        <v>66</v>
      </c>
      <c r="D14" s="214" t="s">
        <v>67</v>
      </c>
      <c r="E14" s="195">
        <v>160</v>
      </c>
      <c r="F14" s="196"/>
      <c r="G14" s="197"/>
      <c r="H14" s="197">
        <f>ROUND(F14*G14,2)</f>
        <v>0</v>
      </c>
      <c r="I14" s="197"/>
      <c r="J14" s="197"/>
      <c r="K14" s="215">
        <f>SUM(H14:J14)</f>
        <v>0</v>
      </c>
      <c r="L14" s="253">
        <f>ROUND(E14*F14,2)</f>
        <v>0</v>
      </c>
      <c r="M14" s="254">
        <f>ROUND(H14*E14,2)</f>
        <v>0</v>
      </c>
      <c r="N14" s="254">
        <f>ROUND(I14*E14,2)</f>
        <v>0</v>
      </c>
      <c r="O14" s="254">
        <f>ROUND(J14*E14,2)</f>
        <v>0</v>
      </c>
      <c r="P14" s="255">
        <f>SUM(M14:O14)</f>
        <v>0</v>
      </c>
    </row>
    <row r="15" spans="1:16" x14ac:dyDescent="0.2">
      <c r="A15" s="192" t="str">
        <f>IF(COUNTBLANK(B15)=1," ",COUNTA(B$14:B15))</f>
        <v xml:space="preserve"> </v>
      </c>
      <c r="B15" s="198"/>
      <c r="C15" s="199" t="s">
        <v>69</v>
      </c>
      <c r="D15" s="128" t="s">
        <v>70</v>
      </c>
      <c r="E15" s="195">
        <v>46</v>
      </c>
      <c r="F15" s="196"/>
      <c r="G15" s="197"/>
      <c r="H15" s="200">
        <f t="shared" ref="H15:H77" si="0">ROUND(F15*G15,2)</f>
        <v>0</v>
      </c>
      <c r="I15" s="197"/>
      <c r="J15" s="197"/>
      <c r="K15" s="217">
        <f t="shared" ref="K15:K77" si="1">SUM(H15:J15)</f>
        <v>0</v>
      </c>
      <c r="L15" s="201">
        <f t="shared" ref="L15:L77" si="2">ROUND(E15*F15,2)</f>
        <v>0</v>
      </c>
      <c r="M15" s="200">
        <f t="shared" ref="M15:M77" si="3">ROUND(H15*E15,2)</f>
        <v>0</v>
      </c>
      <c r="N15" s="200">
        <f t="shared" ref="N15:N77" si="4">ROUND(I15*E15,2)</f>
        <v>0</v>
      </c>
      <c r="O15" s="200">
        <f t="shared" ref="O15:O77" si="5">ROUND(J15*E15,2)</f>
        <v>0</v>
      </c>
      <c r="P15" s="217">
        <f t="shared" ref="P15:P77" si="6">SUM(M15:O15)</f>
        <v>0</v>
      </c>
    </row>
    <row r="16" spans="1:16" x14ac:dyDescent="0.2">
      <c r="A16" s="192" t="str">
        <f>IF(COUNTBLANK(B16)=1," ",COUNTA(B$14:B16))</f>
        <v xml:space="preserve"> </v>
      </c>
      <c r="B16" s="198"/>
      <c r="C16" s="199" t="s">
        <v>71</v>
      </c>
      <c r="D16" s="128" t="s">
        <v>70</v>
      </c>
      <c r="E16" s="195">
        <v>47</v>
      </c>
      <c r="F16" s="196"/>
      <c r="G16" s="197"/>
      <c r="H16" s="200">
        <f t="shared" si="0"/>
        <v>0</v>
      </c>
      <c r="I16" s="197"/>
      <c r="J16" s="197"/>
      <c r="K16" s="217">
        <f t="shared" si="1"/>
        <v>0</v>
      </c>
      <c r="L16" s="201">
        <f t="shared" si="2"/>
        <v>0</v>
      </c>
      <c r="M16" s="200">
        <f t="shared" si="3"/>
        <v>0</v>
      </c>
      <c r="N16" s="200">
        <f t="shared" si="4"/>
        <v>0</v>
      </c>
      <c r="O16" s="200">
        <f t="shared" si="5"/>
        <v>0</v>
      </c>
      <c r="P16" s="217">
        <f t="shared" si="6"/>
        <v>0</v>
      </c>
    </row>
    <row r="17" spans="1:16" x14ac:dyDescent="0.2">
      <c r="A17" s="192">
        <f>IF(COUNTBLANK(B17)=1," ",COUNTA(B$14:B17))</f>
        <v>2</v>
      </c>
      <c r="B17" s="198" t="s">
        <v>65</v>
      </c>
      <c r="C17" s="199" t="s">
        <v>72</v>
      </c>
      <c r="D17" s="128" t="s">
        <v>73</v>
      </c>
      <c r="E17" s="195">
        <v>2754</v>
      </c>
      <c r="F17" s="196"/>
      <c r="G17" s="197"/>
      <c r="H17" s="200">
        <f t="shared" si="0"/>
        <v>0</v>
      </c>
      <c r="I17" s="197"/>
      <c r="J17" s="197"/>
      <c r="K17" s="217">
        <f t="shared" si="1"/>
        <v>0</v>
      </c>
      <c r="L17" s="201">
        <f t="shared" si="2"/>
        <v>0</v>
      </c>
      <c r="M17" s="200">
        <f t="shared" si="3"/>
        <v>0</v>
      </c>
      <c r="N17" s="200">
        <f t="shared" si="4"/>
        <v>0</v>
      </c>
      <c r="O17" s="200">
        <f t="shared" si="5"/>
        <v>0</v>
      </c>
      <c r="P17" s="217">
        <f t="shared" si="6"/>
        <v>0</v>
      </c>
    </row>
    <row r="18" spans="1:16" x14ac:dyDescent="0.2">
      <c r="A18" s="192" t="str">
        <f>IF(COUNTBLANK(B18)=1," ",COUNTA(B$14:B18))</f>
        <v xml:space="preserve"> </v>
      </c>
      <c r="B18" s="198"/>
      <c r="C18" s="199" t="s">
        <v>74</v>
      </c>
      <c r="D18" s="128" t="s">
        <v>73</v>
      </c>
      <c r="E18" s="195">
        <v>2754</v>
      </c>
      <c r="F18" s="196"/>
      <c r="G18" s="197"/>
      <c r="H18" s="200">
        <f t="shared" si="0"/>
        <v>0</v>
      </c>
      <c r="I18" s="197"/>
      <c r="J18" s="197"/>
      <c r="K18" s="217">
        <f t="shared" si="1"/>
        <v>0</v>
      </c>
      <c r="L18" s="201">
        <f t="shared" si="2"/>
        <v>0</v>
      </c>
      <c r="M18" s="200">
        <f t="shared" si="3"/>
        <v>0</v>
      </c>
      <c r="N18" s="200">
        <f t="shared" si="4"/>
        <v>0</v>
      </c>
      <c r="O18" s="200">
        <f t="shared" si="5"/>
        <v>0</v>
      </c>
      <c r="P18" s="217">
        <f t="shared" si="6"/>
        <v>0</v>
      </c>
    </row>
    <row r="19" spans="1:16" x14ac:dyDescent="0.2">
      <c r="A19" s="192">
        <f>IF(COUNTBLANK(B19)=1," ",COUNTA(B$14:B19))</f>
        <v>3</v>
      </c>
      <c r="B19" s="198" t="s">
        <v>65</v>
      </c>
      <c r="C19" s="199" t="s">
        <v>75</v>
      </c>
      <c r="D19" s="128" t="s">
        <v>70</v>
      </c>
      <c r="E19" s="195">
        <v>1</v>
      </c>
      <c r="F19" s="196"/>
      <c r="G19" s="197"/>
      <c r="H19" s="200">
        <f t="shared" si="0"/>
        <v>0</v>
      </c>
      <c r="I19" s="197"/>
      <c r="J19" s="197"/>
      <c r="K19" s="217">
        <f t="shared" si="1"/>
        <v>0</v>
      </c>
      <c r="L19" s="201">
        <f t="shared" si="2"/>
        <v>0</v>
      </c>
      <c r="M19" s="200">
        <f t="shared" si="3"/>
        <v>0</v>
      </c>
      <c r="N19" s="200">
        <f t="shared" si="4"/>
        <v>0</v>
      </c>
      <c r="O19" s="200">
        <f t="shared" si="5"/>
        <v>0</v>
      </c>
      <c r="P19" s="217">
        <f t="shared" si="6"/>
        <v>0</v>
      </c>
    </row>
    <row r="20" spans="1:16" x14ac:dyDescent="0.2">
      <c r="A20" s="192" t="str">
        <f>IF(COUNTBLANK(B20)=1," ",COUNTA(B$14:B20))</f>
        <v xml:space="preserve"> </v>
      </c>
      <c r="B20" s="198"/>
      <c r="C20" s="199" t="s">
        <v>76</v>
      </c>
      <c r="D20" s="128" t="s">
        <v>77</v>
      </c>
      <c r="E20" s="195">
        <f>E19*16</f>
        <v>16</v>
      </c>
      <c r="F20" s="196"/>
      <c r="G20" s="197"/>
      <c r="H20" s="200">
        <f t="shared" si="0"/>
        <v>0</v>
      </c>
      <c r="I20" s="197"/>
      <c r="J20" s="197"/>
      <c r="K20" s="217">
        <f t="shared" si="1"/>
        <v>0</v>
      </c>
      <c r="L20" s="201">
        <f t="shared" si="2"/>
        <v>0</v>
      </c>
      <c r="M20" s="200">
        <f t="shared" si="3"/>
        <v>0</v>
      </c>
      <c r="N20" s="200">
        <f t="shared" si="4"/>
        <v>0</v>
      </c>
      <c r="O20" s="200">
        <f t="shared" si="5"/>
        <v>0</v>
      </c>
      <c r="P20" s="217">
        <f t="shared" si="6"/>
        <v>0</v>
      </c>
    </row>
    <row r="21" spans="1:16" x14ac:dyDescent="0.2">
      <c r="A21" s="192">
        <f>IF(COUNTBLANK(B21)=1," ",COUNTA(B$14:B21))</f>
        <v>4</v>
      </c>
      <c r="B21" s="198" t="s">
        <v>65</v>
      </c>
      <c r="C21" s="199" t="s">
        <v>78</v>
      </c>
      <c r="D21" s="128" t="s">
        <v>70</v>
      </c>
      <c r="E21" s="195">
        <v>1</v>
      </c>
      <c r="F21" s="196"/>
      <c r="G21" s="197"/>
      <c r="H21" s="200">
        <f t="shared" si="0"/>
        <v>0</v>
      </c>
      <c r="I21" s="197"/>
      <c r="J21" s="197"/>
      <c r="K21" s="217">
        <f t="shared" si="1"/>
        <v>0</v>
      </c>
      <c r="L21" s="201">
        <f t="shared" si="2"/>
        <v>0</v>
      </c>
      <c r="M21" s="200">
        <f t="shared" si="3"/>
        <v>0</v>
      </c>
      <c r="N21" s="200">
        <f t="shared" si="4"/>
        <v>0</v>
      </c>
      <c r="O21" s="200">
        <f t="shared" si="5"/>
        <v>0</v>
      </c>
      <c r="P21" s="217">
        <f t="shared" si="6"/>
        <v>0</v>
      </c>
    </row>
    <row r="22" spans="1:16" x14ac:dyDescent="0.2">
      <c r="A22" s="192">
        <f>IF(COUNTBLANK(B22)=1," ",COUNTA(B$14:B22))</f>
        <v>5</v>
      </c>
      <c r="B22" s="198" t="s">
        <v>65</v>
      </c>
      <c r="C22" s="199" t="s">
        <v>79</v>
      </c>
      <c r="D22" s="128" t="s">
        <v>70</v>
      </c>
      <c r="E22" s="195">
        <v>1</v>
      </c>
      <c r="F22" s="196"/>
      <c r="G22" s="197"/>
      <c r="H22" s="200">
        <f t="shared" si="0"/>
        <v>0</v>
      </c>
      <c r="I22" s="197"/>
      <c r="J22" s="197"/>
      <c r="K22" s="217">
        <f t="shared" si="1"/>
        <v>0</v>
      </c>
      <c r="L22" s="201">
        <f t="shared" si="2"/>
        <v>0</v>
      </c>
      <c r="M22" s="200">
        <f t="shared" si="3"/>
        <v>0</v>
      </c>
      <c r="N22" s="200">
        <f t="shared" si="4"/>
        <v>0</v>
      </c>
      <c r="O22" s="200">
        <f t="shared" si="5"/>
        <v>0</v>
      </c>
      <c r="P22" s="217">
        <f t="shared" si="6"/>
        <v>0</v>
      </c>
    </row>
    <row r="23" spans="1:16" x14ac:dyDescent="0.2">
      <c r="A23" s="192">
        <f>IF(COUNTBLANK(B23)=1," ",COUNTA(B$14:B23))</f>
        <v>6</v>
      </c>
      <c r="B23" s="198" t="s">
        <v>65</v>
      </c>
      <c r="C23" s="199" t="s">
        <v>80</v>
      </c>
      <c r="D23" s="128" t="s">
        <v>70</v>
      </c>
      <c r="E23" s="195">
        <v>1</v>
      </c>
      <c r="F23" s="196"/>
      <c r="G23" s="197"/>
      <c r="H23" s="200">
        <f t="shared" si="0"/>
        <v>0</v>
      </c>
      <c r="I23" s="197"/>
      <c r="J23" s="197"/>
      <c r="K23" s="217">
        <f t="shared" si="1"/>
        <v>0</v>
      </c>
      <c r="L23" s="201">
        <f t="shared" si="2"/>
        <v>0</v>
      </c>
      <c r="M23" s="200">
        <f t="shared" si="3"/>
        <v>0</v>
      </c>
      <c r="N23" s="200">
        <f t="shared" si="4"/>
        <v>0</v>
      </c>
      <c r="O23" s="200">
        <f t="shared" si="5"/>
        <v>0</v>
      </c>
      <c r="P23" s="217">
        <f t="shared" si="6"/>
        <v>0</v>
      </c>
    </row>
    <row r="24" spans="1:16" ht="33.75" x14ac:dyDescent="0.2">
      <c r="A24" s="192">
        <f>IF(COUNTBLANK(B24)=1," ",COUNTA(B$14:B24))</f>
        <v>7</v>
      </c>
      <c r="B24" s="198" t="s">
        <v>65</v>
      </c>
      <c r="C24" s="199" t="s">
        <v>81</v>
      </c>
      <c r="D24" s="128" t="s">
        <v>73</v>
      </c>
      <c r="E24" s="304">
        <f>(E27+E28+E29+E30+E31+E32+E33+E35+E44+E34+E83)/1.1</f>
        <v>2829.7360000000003</v>
      </c>
      <c r="F24" s="196"/>
      <c r="G24" s="197"/>
      <c r="H24" s="200">
        <f t="shared" si="0"/>
        <v>0</v>
      </c>
      <c r="I24" s="197"/>
      <c r="J24" s="197"/>
      <c r="K24" s="217">
        <f t="shared" si="1"/>
        <v>0</v>
      </c>
      <c r="L24" s="201">
        <f t="shared" si="2"/>
        <v>0</v>
      </c>
      <c r="M24" s="200">
        <f t="shared" si="3"/>
        <v>0</v>
      </c>
      <c r="N24" s="200">
        <f t="shared" si="4"/>
        <v>0</v>
      </c>
      <c r="O24" s="200">
        <f t="shared" si="5"/>
        <v>0</v>
      </c>
      <c r="P24" s="217">
        <f t="shared" si="6"/>
        <v>0</v>
      </c>
    </row>
    <row r="25" spans="1:16" x14ac:dyDescent="0.2">
      <c r="A25" s="192" t="str">
        <f>IF(COUNTBLANK(B25)=1," ",COUNTA(B$14:B25))</f>
        <v xml:space="preserve"> </v>
      </c>
      <c r="B25" s="198"/>
      <c r="C25" s="199" t="s">
        <v>82</v>
      </c>
      <c r="D25" s="128" t="s">
        <v>364</v>
      </c>
      <c r="E25" s="304">
        <f>E24*0.33</f>
        <v>933.81288000000018</v>
      </c>
      <c r="F25" s="196"/>
      <c r="G25" s="197"/>
      <c r="H25" s="200">
        <f t="shared" si="0"/>
        <v>0</v>
      </c>
      <c r="I25" s="197"/>
      <c r="J25" s="197"/>
      <c r="K25" s="217">
        <f t="shared" si="1"/>
        <v>0</v>
      </c>
      <c r="L25" s="201">
        <f t="shared" si="2"/>
        <v>0</v>
      </c>
      <c r="M25" s="200">
        <f t="shared" si="3"/>
        <v>0</v>
      </c>
      <c r="N25" s="200">
        <f t="shared" si="4"/>
        <v>0</v>
      </c>
      <c r="O25" s="200">
        <f t="shared" si="5"/>
        <v>0</v>
      </c>
      <c r="P25" s="217">
        <f t="shared" si="6"/>
        <v>0</v>
      </c>
    </row>
    <row r="26" spans="1:16" x14ac:dyDescent="0.2">
      <c r="A26" s="192" t="str">
        <f>IF(COUNTBLANK(B26)=1," ",COUNTA(B$14:B26))</f>
        <v xml:space="preserve"> </v>
      </c>
      <c r="B26" s="198"/>
      <c r="C26" s="199" t="s">
        <v>84</v>
      </c>
      <c r="D26" s="128" t="s">
        <v>83</v>
      </c>
      <c r="E26" s="304">
        <f>E24*5</f>
        <v>14148.680000000002</v>
      </c>
      <c r="F26" s="196"/>
      <c r="G26" s="197"/>
      <c r="H26" s="200">
        <f t="shared" si="0"/>
        <v>0</v>
      </c>
      <c r="I26" s="197"/>
      <c r="J26" s="197"/>
      <c r="K26" s="217">
        <f t="shared" si="1"/>
        <v>0</v>
      </c>
      <c r="L26" s="201">
        <f t="shared" si="2"/>
        <v>0</v>
      </c>
      <c r="M26" s="200">
        <f t="shared" si="3"/>
        <v>0</v>
      </c>
      <c r="N26" s="200">
        <f t="shared" si="4"/>
        <v>0</v>
      </c>
      <c r="O26" s="200">
        <f t="shared" si="5"/>
        <v>0</v>
      </c>
      <c r="P26" s="217">
        <f t="shared" si="6"/>
        <v>0</v>
      </c>
    </row>
    <row r="27" spans="1:16" ht="56.25" x14ac:dyDescent="0.2">
      <c r="A27" s="192">
        <f>IF(COUNTBLANK(B27)=1," ",COUNTA(B$14:B27))</f>
        <v>8</v>
      </c>
      <c r="B27" s="202" t="s">
        <v>85</v>
      </c>
      <c r="C27" s="199" t="s">
        <v>86</v>
      </c>
      <c r="D27" s="128" t="s">
        <v>73</v>
      </c>
      <c r="E27" s="195">
        <f>1129.3*1.1-E33-E83</f>
        <v>968.15480000000002</v>
      </c>
      <c r="F27" s="196"/>
      <c r="G27" s="197"/>
      <c r="H27" s="200">
        <f t="shared" si="0"/>
        <v>0</v>
      </c>
      <c r="I27" s="197"/>
      <c r="J27" s="197"/>
      <c r="K27" s="217">
        <f t="shared" si="1"/>
        <v>0</v>
      </c>
      <c r="L27" s="201">
        <f t="shared" si="2"/>
        <v>0</v>
      </c>
      <c r="M27" s="200">
        <f t="shared" si="3"/>
        <v>0</v>
      </c>
      <c r="N27" s="200">
        <f t="shared" si="4"/>
        <v>0</v>
      </c>
      <c r="O27" s="200">
        <f t="shared" si="5"/>
        <v>0</v>
      </c>
      <c r="P27" s="217">
        <f t="shared" si="6"/>
        <v>0</v>
      </c>
    </row>
    <row r="28" spans="1:16" ht="45" x14ac:dyDescent="0.2">
      <c r="A28" s="192">
        <f>IF(COUNTBLANK(B28)=1," ",COUNTA(B$14:B28))</f>
        <v>9</v>
      </c>
      <c r="B28" s="202" t="s">
        <v>87</v>
      </c>
      <c r="C28" s="199" t="s">
        <v>88</v>
      </c>
      <c r="D28" s="128" t="s">
        <v>73</v>
      </c>
      <c r="E28" s="195">
        <f>353.4*1.1</f>
        <v>388.74</v>
      </c>
      <c r="F28" s="196"/>
      <c r="G28" s="197"/>
      <c r="H28" s="200">
        <f t="shared" si="0"/>
        <v>0</v>
      </c>
      <c r="I28" s="197"/>
      <c r="J28" s="197"/>
      <c r="K28" s="217">
        <f t="shared" si="1"/>
        <v>0</v>
      </c>
      <c r="L28" s="201">
        <f t="shared" si="2"/>
        <v>0</v>
      </c>
      <c r="M28" s="200">
        <f t="shared" si="3"/>
        <v>0</v>
      </c>
      <c r="N28" s="200">
        <f t="shared" si="4"/>
        <v>0</v>
      </c>
      <c r="O28" s="200">
        <f t="shared" si="5"/>
        <v>0</v>
      </c>
      <c r="P28" s="217">
        <f t="shared" si="6"/>
        <v>0</v>
      </c>
    </row>
    <row r="29" spans="1:16" ht="56.25" x14ac:dyDescent="0.2">
      <c r="A29" s="192">
        <f>IF(COUNTBLANK(B29)=1," ",COUNTA(B$14:B29))</f>
        <v>10</v>
      </c>
      <c r="B29" s="202" t="s">
        <v>89</v>
      </c>
      <c r="C29" s="199" t="s">
        <v>90</v>
      </c>
      <c r="D29" s="128" t="s">
        <v>73</v>
      </c>
      <c r="E29" s="307">
        <f>3.15*2.12*4*1.1</f>
        <v>29.383200000000002</v>
      </c>
      <c r="F29" s="196"/>
      <c r="G29" s="197"/>
      <c r="H29" s="200">
        <f t="shared" si="0"/>
        <v>0</v>
      </c>
      <c r="I29" s="197"/>
      <c r="J29" s="197"/>
      <c r="K29" s="217">
        <f t="shared" si="1"/>
        <v>0</v>
      </c>
      <c r="L29" s="201">
        <f t="shared" si="2"/>
        <v>0</v>
      </c>
      <c r="M29" s="200">
        <f t="shared" si="3"/>
        <v>0</v>
      </c>
      <c r="N29" s="200">
        <f t="shared" si="4"/>
        <v>0</v>
      </c>
      <c r="O29" s="200">
        <f t="shared" si="5"/>
        <v>0</v>
      </c>
      <c r="P29" s="217">
        <f t="shared" si="6"/>
        <v>0</v>
      </c>
    </row>
    <row r="30" spans="1:16" ht="45" x14ac:dyDescent="0.2">
      <c r="A30" s="192">
        <f>IF(COUNTBLANK(B30)=1," ",COUNTA(B$14:B30))</f>
        <v>11</v>
      </c>
      <c r="B30" s="202" t="s">
        <v>91</v>
      </c>
      <c r="C30" s="199" t="s">
        <v>92</v>
      </c>
      <c r="D30" s="128" t="s">
        <v>73</v>
      </c>
      <c r="E30" s="195">
        <f>333.1*1.1</f>
        <v>366.41000000000008</v>
      </c>
      <c r="F30" s="196"/>
      <c r="G30" s="197"/>
      <c r="H30" s="200">
        <f t="shared" si="0"/>
        <v>0</v>
      </c>
      <c r="I30" s="197"/>
      <c r="J30" s="197"/>
      <c r="K30" s="217">
        <f t="shared" si="1"/>
        <v>0</v>
      </c>
      <c r="L30" s="201">
        <f t="shared" si="2"/>
        <v>0</v>
      </c>
      <c r="M30" s="200">
        <f t="shared" si="3"/>
        <v>0</v>
      </c>
      <c r="N30" s="200">
        <f t="shared" si="4"/>
        <v>0</v>
      </c>
      <c r="O30" s="200">
        <f t="shared" si="5"/>
        <v>0</v>
      </c>
      <c r="P30" s="217">
        <f t="shared" si="6"/>
        <v>0</v>
      </c>
    </row>
    <row r="31" spans="1:16" ht="67.5" x14ac:dyDescent="0.2">
      <c r="A31" s="192">
        <f>IF(COUNTBLANK(B31)=1," ",COUNTA(B$14:B31))</f>
        <v>12</v>
      </c>
      <c r="B31" s="193" t="s">
        <v>462</v>
      </c>
      <c r="C31" s="194" t="s">
        <v>464</v>
      </c>
      <c r="D31" s="214" t="s">
        <v>73</v>
      </c>
      <c r="E31" s="195">
        <f>(2.4*22*5*2.61*1.1)+(1.06*0.2*72*1.1)</f>
        <v>774.73440000000005</v>
      </c>
      <c r="F31" s="196"/>
      <c r="G31" s="197"/>
      <c r="H31" s="200">
        <f t="shared" si="0"/>
        <v>0</v>
      </c>
      <c r="I31" s="197"/>
      <c r="J31" s="197"/>
      <c r="K31" s="217">
        <f t="shared" si="1"/>
        <v>0</v>
      </c>
      <c r="L31" s="201">
        <f t="shared" si="2"/>
        <v>0</v>
      </c>
      <c r="M31" s="200">
        <f t="shared" si="3"/>
        <v>0</v>
      </c>
      <c r="N31" s="200">
        <f t="shared" si="4"/>
        <v>0</v>
      </c>
      <c r="O31" s="200">
        <f t="shared" si="5"/>
        <v>0</v>
      </c>
      <c r="P31" s="217">
        <f t="shared" si="6"/>
        <v>0</v>
      </c>
    </row>
    <row r="32" spans="1:16" ht="56.25" x14ac:dyDescent="0.2">
      <c r="A32" s="192">
        <f>IF(COUNTBLANK(B32)=1," ",COUNTA(B$14:B32))</f>
        <v>13</v>
      </c>
      <c r="B32" s="202" t="s">
        <v>93</v>
      </c>
      <c r="C32" s="199" t="s">
        <v>437</v>
      </c>
      <c r="D32" s="128" t="s">
        <v>73</v>
      </c>
      <c r="E32" s="195">
        <f>4*16.7*1.1</f>
        <v>73.48</v>
      </c>
      <c r="F32" s="196"/>
      <c r="G32" s="197"/>
      <c r="H32" s="200">
        <f t="shared" si="0"/>
        <v>0</v>
      </c>
      <c r="I32" s="197"/>
      <c r="J32" s="197"/>
      <c r="K32" s="217">
        <f t="shared" si="1"/>
        <v>0</v>
      </c>
      <c r="L32" s="201">
        <f t="shared" si="2"/>
        <v>0</v>
      </c>
      <c r="M32" s="200">
        <f t="shared" si="3"/>
        <v>0</v>
      </c>
      <c r="N32" s="200">
        <f t="shared" si="4"/>
        <v>0</v>
      </c>
      <c r="O32" s="200">
        <f t="shared" si="5"/>
        <v>0</v>
      </c>
      <c r="P32" s="217">
        <f t="shared" si="6"/>
        <v>0</v>
      </c>
    </row>
    <row r="33" spans="1:16" ht="56.25" x14ac:dyDescent="0.2">
      <c r="A33" s="192">
        <f>IF(COUNTBLANK(B33)=1," ",COUNTA(B$14:B33))</f>
        <v>14</v>
      </c>
      <c r="B33" s="202" t="s">
        <v>94</v>
      </c>
      <c r="C33" s="199" t="s">
        <v>95</v>
      </c>
      <c r="D33" s="128" t="s">
        <v>73</v>
      </c>
      <c r="E33" s="195">
        <f>0.7*2.61*16*1.1</f>
        <v>32.155200000000001</v>
      </c>
      <c r="F33" s="196"/>
      <c r="G33" s="197"/>
      <c r="H33" s="200">
        <f t="shared" si="0"/>
        <v>0</v>
      </c>
      <c r="I33" s="197"/>
      <c r="J33" s="197"/>
      <c r="K33" s="217">
        <f t="shared" si="1"/>
        <v>0</v>
      </c>
      <c r="L33" s="201">
        <f t="shared" si="2"/>
        <v>0</v>
      </c>
      <c r="M33" s="200">
        <f t="shared" si="3"/>
        <v>0</v>
      </c>
      <c r="N33" s="200">
        <f t="shared" si="4"/>
        <v>0</v>
      </c>
      <c r="O33" s="200">
        <f t="shared" si="5"/>
        <v>0</v>
      </c>
      <c r="P33" s="217">
        <f t="shared" si="6"/>
        <v>0</v>
      </c>
    </row>
    <row r="34" spans="1:16" ht="67.5" x14ac:dyDescent="0.2">
      <c r="A34" s="192">
        <f>IF(COUNTBLANK(B34)=1," ",COUNTA(B$14:B34))</f>
        <v>15</v>
      </c>
      <c r="B34" s="203" t="s">
        <v>463</v>
      </c>
      <c r="C34" s="199" t="s">
        <v>465</v>
      </c>
      <c r="D34" s="128" t="s">
        <v>73</v>
      </c>
      <c r="E34" s="195">
        <f>(2.44*10*1.12*1.1)+(1.25*12*1.12*1.1)+(3.8*4*1.1)</f>
        <v>65.260800000000003</v>
      </c>
      <c r="F34" s="196"/>
      <c r="G34" s="197"/>
      <c r="H34" s="200"/>
      <c r="I34" s="197"/>
      <c r="J34" s="197"/>
      <c r="K34" s="217"/>
      <c r="L34" s="201"/>
      <c r="M34" s="200"/>
      <c r="N34" s="200"/>
      <c r="O34" s="200"/>
      <c r="P34" s="217"/>
    </row>
    <row r="35" spans="1:16" ht="67.5" x14ac:dyDescent="0.2">
      <c r="A35" s="192">
        <f>IF(COUNTBLANK(B35)=1," ",COUNTA(B$14:B35))</f>
        <v>16</v>
      </c>
      <c r="B35" s="202" t="s">
        <v>96</v>
      </c>
      <c r="C35" s="199" t="s">
        <v>97</v>
      </c>
      <c r="D35" s="128" t="s">
        <v>73</v>
      </c>
      <c r="E35" s="195">
        <f>3.04*1.2*4*1.1</f>
        <v>16.051200000000001</v>
      </c>
      <c r="F35" s="196"/>
      <c r="G35" s="197"/>
      <c r="H35" s="309">
        <f t="shared" si="0"/>
        <v>0</v>
      </c>
      <c r="I35" s="197"/>
      <c r="J35" s="197"/>
      <c r="K35" s="217">
        <f t="shared" si="1"/>
        <v>0</v>
      </c>
      <c r="L35" s="201">
        <f t="shared" si="2"/>
        <v>0</v>
      </c>
      <c r="M35" s="200">
        <f t="shared" si="3"/>
        <v>0</v>
      </c>
      <c r="N35" s="200">
        <f t="shared" si="4"/>
        <v>0</v>
      </c>
      <c r="O35" s="200">
        <f t="shared" si="5"/>
        <v>0</v>
      </c>
      <c r="P35" s="217">
        <f t="shared" si="6"/>
        <v>0</v>
      </c>
    </row>
    <row r="36" spans="1:16" x14ac:dyDescent="0.2">
      <c r="A36" s="192">
        <f>IF(COUNTBLANK(B36)=1," ",COUNTA(B$14:B36))</f>
        <v>17</v>
      </c>
      <c r="B36" s="198" t="s">
        <v>65</v>
      </c>
      <c r="C36" s="199" t="s">
        <v>98</v>
      </c>
      <c r="D36" s="128" t="s">
        <v>73</v>
      </c>
      <c r="E36" s="195">
        <f>E40*0.4</f>
        <v>46.400000000000006</v>
      </c>
      <c r="F36" s="196"/>
      <c r="G36" s="197"/>
      <c r="H36" s="200">
        <f t="shared" si="0"/>
        <v>0</v>
      </c>
      <c r="I36" s="197"/>
      <c r="J36" s="197"/>
      <c r="K36" s="217">
        <f t="shared" si="1"/>
        <v>0</v>
      </c>
      <c r="L36" s="201">
        <f t="shared" si="2"/>
        <v>0</v>
      </c>
      <c r="M36" s="200">
        <f t="shared" si="3"/>
        <v>0</v>
      </c>
      <c r="N36" s="200">
        <f t="shared" si="4"/>
        <v>0</v>
      </c>
      <c r="O36" s="200">
        <f t="shared" si="5"/>
        <v>0</v>
      </c>
      <c r="P36" s="217">
        <f t="shared" si="6"/>
        <v>0</v>
      </c>
    </row>
    <row r="37" spans="1:16" x14ac:dyDescent="0.2">
      <c r="A37" s="192" t="str">
        <f>IF(COUNTBLANK(B37)=1," ",COUNTA(B$14:B37))</f>
        <v xml:space="preserve"> </v>
      </c>
      <c r="B37" s="198"/>
      <c r="C37" s="199" t="s">
        <v>438</v>
      </c>
      <c r="D37" s="128" t="s">
        <v>73</v>
      </c>
      <c r="E37" s="195">
        <f>E36*1.1</f>
        <v>51.040000000000013</v>
      </c>
      <c r="F37" s="196"/>
      <c r="G37" s="197"/>
      <c r="H37" s="200">
        <f t="shared" si="0"/>
        <v>0</v>
      </c>
      <c r="I37" s="197"/>
      <c r="J37" s="197"/>
      <c r="K37" s="217">
        <f t="shared" si="1"/>
        <v>0</v>
      </c>
      <c r="L37" s="201">
        <f t="shared" si="2"/>
        <v>0</v>
      </c>
      <c r="M37" s="200">
        <f t="shared" si="3"/>
        <v>0</v>
      </c>
      <c r="N37" s="200">
        <f t="shared" si="4"/>
        <v>0</v>
      </c>
      <c r="O37" s="200">
        <f t="shared" si="5"/>
        <v>0</v>
      </c>
      <c r="P37" s="217">
        <f t="shared" si="6"/>
        <v>0</v>
      </c>
    </row>
    <row r="38" spans="1:16" x14ac:dyDescent="0.2">
      <c r="A38" s="192" t="str">
        <f>IF(COUNTBLANK(B38)=1," ",COUNTA(B$14:B38))</f>
        <v xml:space="preserve"> </v>
      </c>
      <c r="B38" s="198"/>
      <c r="C38" s="199" t="s">
        <v>99</v>
      </c>
      <c r="D38" s="128" t="s">
        <v>67</v>
      </c>
      <c r="E38" s="195">
        <v>151.80000000000001</v>
      </c>
      <c r="F38" s="196"/>
      <c r="G38" s="197"/>
      <c r="H38" s="200">
        <f t="shared" si="0"/>
        <v>0</v>
      </c>
      <c r="I38" s="197"/>
      <c r="J38" s="197"/>
      <c r="K38" s="217">
        <f t="shared" si="1"/>
        <v>0</v>
      </c>
      <c r="L38" s="201">
        <f t="shared" si="2"/>
        <v>0</v>
      </c>
      <c r="M38" s="200">
        <f t="shared" si="3"/>
        <v>0</v>
      </c>
      <c r="N38" s="200">
        <f t="shared" si="4"/>
        <v>0</v>
      </c>
      <c r="O38" s="200">
        <f t="shared" si="5"/>
        <v>0</v>
      </c>
      <c r="P38" s="217">
        <f t="shared" si="6"/>
        <v>0</v>
      </c>
    </row>
    <row r="39" spans="1:16" x14ac:dyDescent="0.2">
      <c r="A39" s="192" t="str">
        <f>IF(COUNTBLANK(B39)=1," ",COUNTA(B$14:B39))</f>
        <v xml:space="preserve"> </v>
      </c>
      <c r="B39" s="198"/>
      <c r="C39" s="199" t="s">
        <v>100</v>
      </c>
      <c r="D39" s="128" t="s">
        <v>67</v>
      </c>
      <c r="E39" s="195">
        <f>E38</f>
        <v>151.80000000000001</v>
      </c>
      <c r="F39" s="196"/>
      <c r="G39" s="197"/>
      <c r="H39" s="200">
        <f t="shared" si="0"/>
        <v>0</v>
      </c>
      <c r="I39" s="197"/>
      <c r="J39" s="197"/>
      <c r="K39" s="217">
        <f t="shared" si="1"/>
        <v>0</v>
      </c>
      <c r="L39" s="201">
        <f t="shared" si="2"/>
        <v>0</v>
      </c>
      <c r="M39" s="200">
        <f t="shared" si="3"/>
        <v>0</v>
      </c>
      <c r="N39" s="200">
        <f t="shared" si="4"/>
        <v>0</v>
      </c>
      <c r="O39" s="200">
        <f t="shared" si="5"/>
        <v>0</v>
      </c>
      <c r="P39" s="217">
        <f t="shared" si="6"/>
        <v>0</v>
      </c>
    </row>
    <row r="40" spans="1:16" ht="22.5" x14ac:dyDescent="0.2">
      <c r="A40" s="192" t="str">
        <f>IF(COUNTBLANK(B40)=1," ",COUNTA(B$14:B40))</f>
        <v xml:space="preserve"> </v>
      </c>
      <c r="B40" s="198"/>
      <c r="C40" s="199" t="s">
        <v>101</v>
      </c>
      <c r="D40" s="128" t="s">
        <v>67</v>
      </c>
      <c r="E40" s="195">
        <v>116</v>
      </c>
      <c r="F40" s="196"/>
      <c r="G40" s="197"/>
      <c r="H40" s="200">
        <f t="shared" si="0"/>
        <v>0</v>
      </c>
      <c r="I40" s="197"/>
      <c r="J40" s="197"/>
      <c r="K40" s="217">
        <f t="shared" si="1"/>
        <v>0</v>
      </c>
      <c r="L40" s="201">
        <f t="shared" si="2"/>
        <v>0</v>
      </c>
      <c r="M40" s="200">
        <f t="shared" si="3"/>
        <v>0</v>
      </c>
      <c r="N40" s="200">
        <f t="shared" si="4"/>
        <v>0</v>
      </c>
      <c r="O40" s="200">
        <f t="shared" si="5"/>
        <v>0</v>
      </c>
      <c r="P40" s="217">
        <f t="shared" si="6"/>
        <v>0</v>
      </c>
    </row>
    <row r="41" spans="1:16" x14ac:dyDescent="0.2">
      <c r="A41" s="192" t="str">
        <f>IF(COUNTBLANK(B41)=1," ",COUNTA(B$14:B41))</f>
        <v xml:space="preserve"> </v>
      </c>
      <c r="B41" s="198"/>
      <c r="C41" s="199" t="s">
        <v>439</v>
      </c>
      <c r="D41" s="128" t="s">
        <v>73</v>
      </c>
      <c r="E41" s="195">
        <f>E40*0.7*1.1</f>
        <v>89.32</v>
      </c>
      <c r="F41" s="196"/>
      <c r="G41" s="197"/>
      <c r="H41" s="200">
        <f t="shared" si="0"/>
        <v>0</v>
      </c>
      <c r="I41" s="197"/>
      <c r="J41" s="197"/>
      <c r="K41" s="217">
        <f t="shared" si="1"/>
        <v>0</v>
      </c>
      <c r="L41" s="201">
        <f t="shared" si="2"/>
        <v>0</v>
      </c>
      <c r="M41" s="200">
        <f t="shared" si="3"/>
        <v>0</v>
      </c>
      <c r="N41" s="200">
        <f t="shared" si="4"/>
        <v>0</v>
      </c>
      <c r="O41" s="200">
        <f t="shared" si="5"/>
        <v>0</v>
      </c>
      <c r="P41" s="217">
        <f t="shared" si="6"/>
        <v>0</v>
      </c>
    </row>
    <row r="42" spans="1:16" x14ac:dyDescent="0.2">
      <c r="A42" s="192" t="str">
        <f>IF(COUNTBLANK(B42)=1," ",COUNTA(B$14:B42))</f>
        <v xml:space="preserve"> </v>
      </c>
      <c r="B42" s="198"/>
      <c r="C42" s="199" t="s">
        <v>102</v>
      </c>
      <c r="D42" s="128" t="s">
        <v>67</v>
      </c>
      <c r="E42" s="195">
        <f>E40</f>
        <v>116</v>
      </c>
      <c r="F42" s="196"/>
      <c r="G42" s="197"/>
      <c r="H42" s="200">
        <f t="shared" si="0"/>
        <v>0</v>
      </c>
      <c r="I42" s="197"/>
      <c r="J42" s="197"/>
      <c r="K42" s="217">
        <f t="shared" si="1"/>
        <v>0</v>
      </c>
      <c r="L42" s="201">
        <f t="shared" si="2"/>
        <v>0</v>
      </c>
      <c r="M42" s="200">
        <f t="shared" si="3"/>
        <v>0</v>
      </c>
      <c r="N42" s="200">
        <f t="shared" si="4"/>
        <v>0</v>
      </c>
      <c r="O42" s="200">
        <f t="shared" si="5"/>
        <v>0</v>
      </c>
      <c r="P42" s="217">
        <f t="shared" si="6"/>
        <v>0</v>
      </c>
    </row>
    <row r="43" spans="1:16" ht="22.5" x14ac:dyDescent="0.2">
      <c r="A43" s="192">
        <f>IF(COUNTBLANK(B43)=1," ",COUNTA(B$14:B43))</f>
        <v>18</v>
      </c>
      <c r="B43" s="203" t="s">
        <v>65</v>
      </c>
      <c r="C43" s="199" t="s">
        <v>103</v>
      </c>
      <c r="D43" s="128" t="s">
        <v>73</v>
      </c>
      <c r="E43" s="195">
        <f>142.2</f>
        <v>142.19999999999999</v>
      </c>
      <c r="F43" s="196"/>
      <c r="G43" s="197"/>
      <c r="H43" s="200">
        <f t="shared" si="0"/>
        <v>0</v>
      </c>
      <c r="I43" s="197"/>
      <c r="J43" s="197"/>
      <c r="K43" s="217">
        <f t="shared" si="1"/>
        <v>0</v>
      </c>
      <c r="L43" s="201">
        <f t="shared" si="2"/>
        <v>0</v>
      </c>
      <c r="M43" s="200">
        <f t="shared" si="3"/>
        <v>0</v>
      </c>
      <c r="N43" s="200">
        <f t="shared" si="4"/>
        <v>0</v>
      </c>
      <c r="O43" s="200">
        <f t="shared" si="5"/>
        <v>0</v>
      </c>
      <c r="P43" s="217">
        <f t="shared" si="6"/>
        <v>0</v>
      </c>
    </row>
    <row r="44" spans="1:16" x14ac:dyDescent="0.2">
      <c r="A44" s="192" t="str">
        <f>IF(COUNTBLANK(B44)=1," ",COUNTA(B$14:B44))</f>
        <v xml:space="preserve"> </v>
      </c>
      <c r="B44" s="198"/>
      <c r="C44" s="199" t="s">
        <v>440</v>
      </c>
      <c r="D44" s="128" t="s">
        <v>73</v>
      </c>
      <c r="E44" s="195">
        <f>E43*1.1</f>
        <v>156.41999999999999</v>
      </c>
      <c r="F44" s="196"/>
      <c r="G44" s="197"/>
      <c r="H44" s="200"/>
      <c r="I44" s="197"/>
      <c r="J44" s="197"/>
      <c r="K44" s="217"/>
      <c r="L44" s="201"/>
      <c r="M44" s="200"/>
      <c r="N44" s="200"/>
      <c r="O44" s="200"/>
      <c r="P44" s="217"/>
    </row>
    <row r="45" spans="1:16" ht="67.5" x14ac:dyDescent="0.2">
      <c r="A45" s="192">
        <f>IF(COUNTBLANK(B45)=1," ",COUNTA(B$14:B45))</f>
        <v>19</v>
      </c>
      <c r="B45" s="203" t="s">
        <v>441</v>
      </c>
      <c r="C45" s="199" t="s">
        <v>442</v>
      </c>
      <c r="D45" s="128" t="s">
        <v>73</v>
      </c>
      <c r="E45" s="195">
        <f>3.36*1.5*4*1.1</f>
        <v>22.176000000000002</v>
      </c>
      <c r="F45" s="196"/>
      <c r="G45" s="197"/>
      <c r="H45" s="200"/>
      <c r="I45" s="197"/>
      <c r="J45" s="197"/>
      <c r="K45" s="217"/>
      <c r="L45" s="201"/>
      <c r="M45" s="200"/>
      <c r="N45" s="200"/>
      <c r="O45" s="200"/>
      <c r="P45" s="217"/>
    </row>
    <row r="46" spans="1:16" ht="22.5" x14ac:dyDescent="0.2">
      <c r="A46" s="192">
        <f>IF(COUNTBLANK(B46)=1," ",COUNTA(B$14:B46))</f>
        <v>20</v>
      </c>
      <c r="B46" s="198" t="s">
        <v>65</v>
      </c>
      <c r="C46" s="199" t="s">
        <v>443</v>
      </c>
      <c r="D46" s="128" t="s">
        <v>73</v>
      </c>
      <c r="E46" s="195">
        <f>3*12.4*4</f>
        <v>148.80000000000001</v>
      </c>
      <c r="F46" s="196"/>
      <c r="G46" s="197"/>
      <c r="H46" s="200">
        <f t="shared" si="0"/>
        <v>0</v>
      </c>
      <c r="I46" s="197"/>
      <c r="J46" s="197"/>
      <c r="K46" s="217">
        <f t="shared" si="1"/>
        <v>0</v>
      </c>
      <c r="L46" s="201">
        <f t="shared" si="2"/>
        <v>0</v>
      </c>
      <c r="M46" s="200">
        <f t="shared" si="3"/>
        <v>0</v>
      </c>
      <c r="N46" s="200">
        <f t="shared" si="4"/>
        <v>0</v>
      </c>
      <c r="O46" s="200">
        <f t="shared" si="5"/>
        <v>0</v>
      </c>
      <c r="P46" s="217">
        <f t="shared" si="6"/>
        <v>0</v>
      </c>
    </row>
    <row r="47" spans="1:16" x14ac:dyDescent="0.2">
      <c r="A47" s="192" t="str">
        <f>IF(COUNTBLANK(B47)=1," ",COUNTA(B$14:B47))</f>
        <v xml:space="preserve"> </v>
      </c>
      <c r="B47" s="198"/>
      <c r="C47" s="199" t="s">
        <v>447</v>
      </c>
      <c r="D47" s="128"/>
      <c r="E47" s="195"/>
      <c r="F47" s="196"/>
      <c r="G47" s="197"/>
      <c r="H47" s="200"/>
      <c r="I47" s="197"/>
      <c r="J47" s="197"/>
      <c r="K47" s="217"/>
      <c r="L47" s="201"/>
      <c r="M47" s="200"/>
      <c r="N47" s="200"/>
      <c r="O47" s="200"/>
      <c r="P47" s="217"/>
    </row>
    <row r="48" spans="1:16" x14ac:dyDescent="0.2">
      <c r="A48" s="192">
        <f>IF(COUNTBLANK(B48)=1," ",COUNTA(B$14:B48))</f>
        <v>21</v>
      </c>
      <c r="B48" s="198" t="s">
        <v>65</v>
      </c>
      <c r="C48" s="199" t="s">
        <v>445</v>
      </c>
      <c r="D48" s="128" t="s">
        <v>126</v>
      </c>
      <c r="E48" s="307">
        <f>ROUNDUP((E27+E28+E35+E83)*8,0)</f>
        <v>12919</v>
      </c>
      <c r="F48" s="196"/>
      <c r="G48" s="197"/>
      <c r="H48" s="200">
        <f t="shared" si="0"/>
        <v>0</v>
      </c>
      <c r="I48" s="197"/>
      <c r="J48" s="197"/>
      <c r="K48" s="217">
        <f t="shared" si="1"/>
        <v>0</v>
      </c>
      <c r="L48" s="201">
        <f t="shared" si="2"/>
        <v>0</v>
      </c>
      <c r="M48" s="200">
        <f t="shared" si="3"/>
        <v>0</v>
      </c>
      <c r="N48" s="200">
        <f t="shared" si="4"/>
        <v>0</v>
      </c>
      <c r="O48" s="200">
        <f t="shared" si="5"/>
        <v>0</v>
      </c>
      <c r="P48" s="217">
        <f t="shared" si="6"/>
        <v>0</v>
      </c>
    </row>
    <row r="49" spans="1:16" x14ac:dyDescent="0.2">
      <c r="A49" s="192">
        <f>IF(COUNTBLANK(B49)=1," ",COUNTA(B$14:B49))</f>
        <v>22</v>
      </c>
      <c r="B49" s="193" t="s">
        <v>65</v>
      </c>
      <c r="C49" s="194" t="s">
        <v>446</v>
      </c>
      <c r="D49" s="214" t="s">
        <v>126</v>
      </c>
      <c r="E49" s="307">
        <f>ROUNDUP((E29+E30+E32)*8,0)</f>
        <v>3755</v>
      </c>
      <c r="F49" s="196"/>
      <c r="G49" s="197"/>
      <c r="H49" s="200">
        <f t="shared" si="0"/>
        <v>0</v>
      </c>
      <c r="I49" s="197"/>
      <c r="J49" s="197"/>
      <c r="K49" s="217">
        <f t="shared" si="1"/>
        <v>0</v>
      </c>
      <c r="L49" s="201">
        <f t="shared" si="2"/>
        <v>0</v>
      </c>
      <c r="M49" s="200">
        <f t="shared" si="3"/>
        <v>0</v>
      </c>
      <c r="N49" s="200">
        <f t="shared" si="4"/>
        <v>0</v>
      </c>
      <c r="O49" s="200">
        <f t="shared" si="5"/>
        <v>0</v>
      </c>
      <c r="P49" s="217">
        <f t="shared" si="6"/>
        <v>0</v>
      </c>
    </row>
    <row r="50" spans="1:16" x14ac:dyDescent="0.2">
      <c r="A50" s="192">
        <f>IF(COUNTBLANK(B50)=1," ",COUNTA(B$14:B50))</f>
        <v>23</v>
      </c>
      <c r="B50" s="198" t="s">
        <v>65</v>
      </c>
      <c r="C50" s="199" t="s">
        <v>448</v>
      </c>
      <c r="D50" s="128" t="s">
        <v>126</v>
      </c>
      <c r="E50" s="307">
        <f>ROUNDUP((E33+E37)*8,0)</f>
        <v>666</v>
      </c>
      <c r="F50" s="196"/>
      <c r="G50" s="197"/>
      <c r="H50" s="200">
        <f t="shared" si="0"/>
        <v>0</v>
      </c>
      <c r="I50" s="197"/>
      <c r="J50" s="197"/>
      <c r="K50" s="217">
        <f t="shared" si="1"/>
        <v>0</v>
      </c>
      <c r="L50" s="201">
        <f t="shared" si="2"/>
        <v>0</v>
      </c>
      <c r="M50" s="200">
        <f t="shared" si="3"/>
        <v>0</v>
      </c>
      <c r="N50" s="200">
        <f t="shared" si="4"/>
        <v>0</v>
      </c>
      <c r="O50" s="200">
        <f t="shared" si="5"/>
        <v>0</v>
      </c>
      <c r="P50" s="217">
        <f t="shared" si="6"/>
        <v>0</v>
      </c>
    </row>
    <row r="51" spans="1:16" ht="22.5" x14ac:dyDescent="0.2">
      <c r="A51" s="192">
        <f>IF(COUNTBLANK(B51)=1," ",COUNTA(B$14:B51))</f>
        <v>24</v>
      </c>
      <c r="B51" s="198" t="s">
        <v>65</v>
      </c>
      <c r="C51" s="199" t="s">
        <v>466</v>
      </c>
      <c r="D51" s="128" t="s">
        <v>126</v>
      </c>
      <c r="E51" s="307">
        <f>ROUNDUP((E31+E43+E34)*8,0)</f>
        <v>7858</v>
      </c>
      <c r="F51" s="196"/>
      <c r="G51" s="197"/>
      <c r="H51" s="200">
        <f t="shared" si="0"/>
        <v>0</v>
      </c>
      <c r="I51" s="197"/>
      <c r="J51" s="197"/>
      <c r="K51" s="217">
        <f t="shared" si="1"/>
        <v>0</v>
      </c>
      <c r="L51" s="201">
        <f t="shared" si="2"/>
        <v>0</v>
      </c>
      <c r="M51" s="200">
        <f t="shared" si="3"/>
        <v>0</v>
      </c>
      <c r="N51" s="200">
        <f t="shared" si="4"/>
        <v>0</v>
      </c>
      <c r="O51" s="200">
        <f t="shared" si="5"/>
        <v>0</v>
      </c>
      <c r="P51" s="217">
        <f t="shared" si="6"/>
        <v>0</v>
      </c>
    </row>
    <row r="52" spans="1:16" ht="56.25" x14ac:dyDescent="0.2">
      <c r="A52" s="192">
        <f>IF(COUNTBLANK(B52)=1," ",COUNTA(B$14:B52))</f>
        <v>25</v>
      </c>
      <c r="B52" s="204" t="s">
        <v>65</v>
      </c>
      <c r="C52" s="205" t="s">
        <v>469</v>
      </c>
      <c r="D52" s="203" t="s">
        <v>73</v>
      </c>
      <c r="E52" s="308">
        <f>E24</f>
        <v>2829.7360000000003</v>
      </c>
      <c r="F52" s="196"/>
      <c r="G52" s="197"/>
      <c r="H52" s="200"/>
      <c r="I52" s="197"/>
      <c r="J52" s="197"/>
      <c r="K52" s="217"/>
      <c r="L52" s="201"/>
      <c r="M52" s="200"/>
      <c r="N52" s="200"/>
      <c r="O52" s="200"/>
      <c r="P52" s="217"/>
    </row>
    <row r="53" spans="1:16" x14ac:dyDescent="0.2">
      <c r="A53" s="192" t="str">
        <f>IF(COUNTBLANK(B53)=1," ",COUNTA(B$14:B53))</f>
        <v xml:space="preserve"> </v>
      </c>
      <c r="B53" s="203"/>
      <c r="C53" s="205" t="s">
        <v>82</v>
      </c>
      <c r="D53" s="207" t="s">
        <v>83</v>
      </c>
      <c r="E53" s="308">
        <f>ROUNDUP(E52*0.3,2)</f>
        <v>848.93</v>
      </c>
      <c r="F53" s="196"/>
      <c r="G53" s="197"/>
      <c r="H53" s="200"/>
      <c r="I53" s="197"/>
      <c r="J53" s="197"/>
      <c r="K53" s="217"/>
      <c r="L53" s="201"/>
      <c r="M53" s="200"/>
      <c r="N53" s="200"/>
      <c r="O53" s="200"/>
      <c r="P53" s="217"/>
    </row>
    <row r="54" spans="1:16" x14ac:dyDescent="0.2">
      <c r="A54" s="192" t="str">
        <f>IF(COUNTBLANK(B54)=1," ",COUNTA(B$14:B54))</f>
        <v xml:space="preserve"> </v>
      </c>
      <c r="B54" s="203"/>
      <c r="C54" s="205" t="s">
        <v>84</v>
      </c>
      <c r="D54" s="207" t="s">
        <v>83</v>
      </c>
      <c r="E54" s="308">
        <f>ROUNDUP(E52*5,2)</f>
        <v>14148.68</v>
      </c>
      <c r="F54" s="196"/>
      <c r="G54" s="197"/>
      <c r="H54" s="200"/>
      <c r="I54" s="197"/>
      <c r="J54" s="197"/>
      <c r="K54" s="217"/>
      <c r="L54" s="201"/>
      <c r="M54" s="200"/>
      <c r="N54" s="200"/>
      <c r="O54" s="200"/>
      <c r="P54" s="217"/>
    </row>
    <row r="55" spans="1:16" x14ac:dyDescent="0.2">
      <c r="A55" s="192" t="str">
        <f>IF(COUNTBLANK(B55)=1," ",COUNTA(B$14:B55))</f>
        <v xml:space="preserve"> </v>
      </c>
      <c r="B55" s="203"/>
      <c r="C55" s="205" t="s">
        <v>444</v>
      </c>
      <c r="D55" s="207" t="s">
        <v>73</v>
      </c>
      <c r="E55" s="308">
        <f>E53*2.2</f>
        <v>1867.646</v>
      </c>
      <c r="F55" s="196"/>
      <c r="G55" s="197"/>
      <c r="H55" s="200"/>
      <c r="I55" s="197"/>
      <c r="J55" s="197"/>
      <c r="K55" s="217"/>
      <c r="L55" s="201"/>
      <c r="M55" s="200"/>
      <c r="N55" s="200"/>
      <c r="O55" s="200"/>
      <c r="P55" s="217"/>
    </row>
    <row r="56" spans="1:16" ht="22.5" x14ac:dyDescent="0.2">
      <c r="A56" s="192" t="str">
        <f>IF(COUNTBLANK(B56)=1," ",COUNTA(B$14:B56))</f>
        <v xml:space="preserve"> </v>
      </c>
      <c r="B56" s="203"/>
      <c r="C56" s="205" t="s">
        <v>470</v>
      </c>
      <c r="D56" s="207" t="s">
        <v>83</v>
      </c>
      <c r="E56" s="308">
        <f>ROUNDUP(E52*3.7,2)</f>
        <v>10470.030000000001</v>
      </c>
      <c r="F56" s="196"/>
      <c r="G56" s="197"/>
      <c r="H56" s="200"/>
      <c r="I56" s="197"/>
      <c r="J56" s="197"/>
      <c r="K56" s="217"/>
      <c r="L56" s="201"/>
      <c r="M56" s="200"/>
      <c r="N56" s="200"/>
      <c r="O56" s="200"/>
      <c r="P56" s="217"/>
    </row>
    <row r="57" spans="1:16" x14ac:dyDescent="0.2">
      <c r="A57" s="192" t="str">
        <f>IF(COUNTBLANK(B57)=1," ",COUNTA(B$14:B57))</f>
        <v xml:space="preserve"> </v>
      </c>
      <c r="B57" s="203"/>
      <c r="C57" s="205" t="s">
        <v>163</v>
      </c>
      <c r="D57" s="207" t="s">
        <v>164</v>
      </c>
      <c r="E57" s="308">
        <f>ROUNDUP(E52*0.1,0)</f>
        <v>283</v>
      </c>
      <c r="F57" s="196"/>
      <c r="G57" s="197"/>
      <c r="H57" s="200"/>
      <c r="I57" s="197"/>
      <c r="J57" s="197"/>
      <c r="K57" s="217"/>
      <c r="L57" s="201"/>
      <c r="M57" s="200"/>
      <c r="N57" s="200"/>
      <c r="O57" s="200"/>
      <c r="P57" s="217"/>
    </row>
    <row r="58" spans="1:16" ht="22.5" x14ac:dyDescent="0.2">
      <c r="A58" s="192">
        <f>IF(COUNTBLANK(B58)=1," ",COUNTA(B$14:B58))</f>
        <v>26</v>
      </c>
      <c r="B58" s="198" t="s">
        <v>65</v>
      </c>
      <c r="C58" s="199" t="s">
        <v>105</v>
      </c>
      <c r="D58" s="128" t="s">
        <v>73</v>
      </c>
      <c r="E58" s="307">
        <f>apjomi!L23</f>
        <v>445.86</v>
      </c>
      <c r="F58" s="196"/>
      <c r="G58" s="197"/>
      <c r="H58" s="200">
        <f t="shared" si="0"/>
        <v>0</v>
      </c>
      <c r="I58" s="197"/>
      <c r="J58" s="197"/>
      <c r="K58" s="217">
        <f t="shared" si="1"/>
        <v>0</v>
      </c>
      <c r="L58" s="201">
        <f t="shared" si="2"/>
        <v>0</v>
      </c>
      <c r="M58" s="200">
        <f t="shared" si="3"/>
        <v>0</v>
      </c>
      <c r="N58" s="200">
        <f t="shared" si="4"/>
        <v>0</v>
      </c>
      <c r="O58" s="200">
        <f t="shared" si="5"/>
        <v>0</v>
      </c>
      <c r="P58" s="217">
        <f t="shared" si="6"/>
        <v>0</v>
      </c>
    </row>
    <row r="59" spans="1:16" x14ac:dyDescent="0.2">
      <c r="A59" s="192" t="str">
        <f>IF(COUNTBLANK(B59)=1," ",COUNTA(B$14:B59))</f>
        <v xml:space="preserve"> </v>
      </c>
      <c r="B59" s="198"/>
      <c r="C59" s="310" t="s">
        <v>283</v>
      </c>
      <c r="D59" s="311" t="s">
        <v>83</v>
      </c>
      <c r="E59" s="315">
        <f>E58*0.3</f>
        <v>133.75800000000001</v>
      </c>
      <c r="F59" s="196"/>
      <c r="G59" s="197"/>
      <c r="H59" s="200">
        <f t="shared" si="0"/>
        <v>0</v>
      </c>
      <c r="I59" s="197"/>
      <c r="J59" s="197"/>
      <c r="K59" s="217">
        <f t="shared" si="1"/>
        <v>0</v>
      </c>
      <c r="L59" s="201">
        <f t="shared" si="2"/>
        <v>0</v>
      </c>
      <c r="M59" s="200">
        <f t="shared" si="3"/>
        <v>0</v>
      </c>
      <c r="N59" s="200">
        <f t="shared" si="4"/>
        <v>0</v>
      </c>
      <c r="O59" s="200">
        <f t="shared" si="5"/>
        <v>0</v>
      </c>
      <c r="P59" s="217">
        <f t="shared" si="6"/>
        <v>0</v>
      </c>
    </row>
    <row r="60" spans="1:16" x14ac:dyDescent="0.2">
      <c r="A60" s="192" t="str">
        <f>IF(COUNTBLANK(B60)=1," ",COUNTA(B$14:B60))</f>
        <v xml:space="preserve"> </v>
      </c>
      <c r="B60" s="198"/>
      <c r="C60" s="310" t="s">
        <v>507</v>
      </c>
      <c r="D60" s="312" t="s">
        <v>73</v>
      </c>
      <c r="E60" s="315">
        <f>E58*1.1</f>
        <v>490.44600000000003</v>
      </c>
      <c r="F60" s="196"/>
      <c r="G60" s="197"/>
      <c r="H60" s="200">
        <f t="shared" si="0"/>
        <v>0</v>
      </c>
      <c r="I60" s="197"/>
      <c r="J60" s="197"/>
      <c r="K60" s="217">
        <f t="shared" si="1"/>
        <v>0</v>
      </c>
      <c r="L60" s="201">
        <f t="shared" si="2"/>
        <v>0</v>
      </c>
      <c r="M60" s="200">
        <f t="shared" si="3"/>
        <v>0</v>
      </c>
      <c r="N60" s="200">
        <f t="shared" si="4"/>
        <v>0</v>
      </c>
      <c r="O60" s="200">
        <f t="shared" si="5"/>
        <v>0</v>
      </c>
      <c r="P60" s="217">
        <f t="shared" si="6"/>
        <v>0</v>
      </c>
    </row>
    <row r="61" spans="1:16" x14ac:dyDescent="0.2">
      <c r="A61" s="192" t="str">
        <f>IF(COUNTBLANK(B61)=1," ",COUNTA(B$14:B61))</f>
        <v xml:space="preserve"> </v>
      </c>
      <c r="B61" s="198"/>
      <c r="C61" s="310" t="s">
        <v>84</v>
      </c>
      <c r="D61" s="311" t="s">
        <v>83</v>
      </c>
      <c r="E61" s="315">
        <f>E58*5</f>
        <v>2229.3000000000002</v>
      </c>
      <c r="F61" s="196"/>
      <c r="G61" s="197"/>
      <c r="H61" s="200">
        <f t="shared" si="0"/>
        <v>0</v>
      </c>
      <c r="I61" s="197"/>
      <c r="J61" s="197"/>
      <c r="K61" s="217">
        <f t="shared" si="1"/>
        <v>0</v>
      </c>
      <c r="L61" s="201">
        <f t="shared" si="2"/>
        <v>0</v>
      </c>
      <c r="M61" s="200">
        <f t="shared" si="3"/>
        <v>0</v>
      </c>
      <c r="N61" s="200">
        <f t="shared" si="4"/>
        <v>0</v>
      </c>
      <c r="O61" s="200">
        <f t="shared" si="5"/>
        <v>0</v>
      </c>
      <c r="P61" s="217">
        <f t="shared" si="6"/>
        <v>0</v>
      </c>
    </row>
    <row r="62" spans="1:16" ht="45" x14ac:dyDescent="0.2">
      <c r="A62" s="192" t="str">
        <f>IF(COUNTBLANK(B62)=1," ",COUNTA(B$14:B62))</f>
        <v xml:space="preserve"> </v>
      </c>
      <c r="B62" s="198"/>
      <c r="C62" s="313" t="s">
        <v>508</v>
      </c>
      <c r="D62" s="314" t="s">
        <v>70</v>
      </c>
      <c r="E62" s="315">
        <f>ROUNDUP(E58*6,0)</f>
        <v>2676</v>
      </c>
      <c r="F62" s="196"/>
      <c r="G62" s="197"/>
      <c r="H62" s="200">
        <f t="shared" si="0"/>
        <v>0</v>
      </c>
      <c r="I62" s="197"/>
      <c r="J62" s="197"/>
      <c r="K62" s="217">
        <f t="shared" si="1"/>
        <v>0</v>
      </c>
      <c r="L62" s="201">
        <f t="shared" si="2"/>
        <v>0</v>
      </c>
      <c r="M62" s="200">
        <f t="shared" si="3"/>
        <v>0</v>
      </c>
      <c r="N62" s="200">
        <f t="shared" si="4"/>
        <v>0</v>
      </c>
      <c r="O62" s="200">
        <f t="shared" si="5"/>
        <v>0</v>
      </c>
      <c r="P62" s="217">
        <f t="shared" si="6"/>
        <v>0</v>
      </c>
    </row>
    <row r="63" spans="1:16" x14ac:dyDescent="0.2">
      <c r="A63" s="192" t="str">
        <f>IF(COUNTBLANK(B63)=1," ",COUNTA(B$14:B63))</f>
        <v xml:space="preserve"> </v>
      </c>
      <c r="B63" s="198"/>
      <c r="C63" s="310" t="s">
        <v>84</v>
      </c>
      <c r="D63" s="311" t="s">
        <v>83</v>
      </c>
      <c r="E63" s="315">
        <f>E58*5</f>
        <v>2229.3000000000002</v>
      </c>
      <c r="F63" s="196"/>
      <c r="G63" s="197"/>
      <c r="H63" s="200">
        <f t="shared" si="0"/>
        <v>0</v>
      </c>
      <c r="I63" s="197"/>
      <c r="J63" s="197"/>
      <c r="K63" s="217">
        <f t="shared" si="1"/>
        <v>0</v>
      </c>
      <c r="L63" s="201">
        <f t="shared" si="2"/>
        <v>0</v>
      </c>
      <c r="M63" s="200">
        <f t="shared" si="3"/>
        <v>0</v>
      </c>
      <c r="N63" s="200">
        <f t="shared" si="4"/>
        <v>0</v>
      </c>
      <c r="O63" s="200">
        <f t="shared" si="5"/>
        <v>0</v>
      </c>
      <c r="P63" s="217">
        <f t="shared" si="6"/>
        <v>0</v>
      </c>
    </row>
    <row r="64" spans="1:16" x14ac:dyDescent="0.2">
      <c r="A64" s="192"/>
      <c r="B64" s="198"/>
      <c r="C64" s="310" t="s">
        <v>107</v>
      </c>
      <c r="D64" s="311" t="s">
        <v>509</v>
      </c>
      <c r="E64" s="315">
        <f>E58*2.2</f>
        <v>980.89200000000005</v>
      </c>
      <c r="F64" s="196"/>
      <c r="G64" s="197"/>
      <c r="H64" s="200"/>
      <c r="I64" s="197"/>
      <c r="J64" s="197"/>
      <c r="K64" s="217"/>
      <c r="L64" s="201"/>
      <c r="M64" s="200"/>
      <c r="N64" s="200"/>
      <c r="O64" s="200"/>
      <c r="P64" s="217"/>
    </row>
    <row r="65" spans="1:16" ht="45" x14ac:dyDescent="0.2">
      <c r="A65" s="192">
        <f>IF(COUNTBLANK(B65)=1," ",COUNTA(B$14:B65))</f>
        <v>27</v>
      </c>
      <c r="B65" s="198" t="s">
        <v>65</v>
      </c>
      <c r="C65" s="321" t="s">
        <v>511</v>
      </c>
      <c r="D65" s="128" t="s">
        <v>106</v>
      </c>
      <c r="E65" s="307">
        <f>0.5*0.3*apjomi!U23</f>
        <v>146.4</v>
      </c>
      <c r="F65" s="196"/>
      <c r="G65" s="197"/>
      <c r="H65" s="200">
        <f t="shared" si="0"/>
        <v>0</v>
      </c>
      <c r="I65" s="197"/>
      <c r="J65" s="197"/>
      <c r="K65" s="217">
        <f t="shared" si="1"/>
        <v>0</v>
      </c>
      <c r="L65" s="201">
        <f t="shared" si="2"/>
        <v>0</v>
      </c>
      <c r="M65" s="200">
        <f t="shared" si="3"/>
        <v>0</v>
      </c>
      <c r="N65" s="200">
        <f t="shared" si="4"/>
        <v>0</v>
      </c>
      <c r="O65" s="200">
        <f t="shared" si="5"/>
        <v>0</v>
      </c>
      <c r="P65" s="217">
        <f t="shared" si="6"/>
        <v>0</v>
      </c>
    </row>
    <row r="66" spans="1:16" x14ac:dyDescent="0.2">
      <c r="A66" s="192" t="str">
        <f>IF(COUNTBLANK(B66)=1," ",COUNTA(B$14:B66))</f>
        <v xml:space="preserve"> </v>
      </c>
      <c r="B66" s="198"/>
      <c r="C66" s="199" t="s">
        <v>104</v>
      </c>
      <c r="D66" s="128" t="s">
        <v>83</v>
      </c>
      <c r="E66" s="307">
        <f>E65*5</f>
        <v>732</v>
      </c>
      <c r="F66" s="196"/>
      <c r="G66" s="197"/>
      <c r="H66" s="200">
        <f t="shared" si="0"/>
        <v>0</v>
      </c>
      <c r="I66" s="197"/>
      <c r="J66" s="197"/>
      <c r="K66" s="217">
        <f t="shared" si="1"/>
        <v>0</v>
      </c>
      <c r="L66" s="201">
        <f t="shared" si="2"/>
        <v>0</v>
      </c>
      <c r="M66" s="200">
        <f t="shared" si="3"/>
        <v>0</v>
      </c>
      <c r="N66" s="200">
        <f t="shared" si="4"/>
        <v>0</v>
      </c>
      <c r="O66" s="200">
        <f t="shared" si="5"/>
        <v>0</v>
      </c>
      <c r="P66" s="217">
        <f t="shared" si="6"/>
        <v>0</v>
      </c>
    </row>
    <row r="67" spans="1:16" x14ac:dyDescent="0.2">
      <c r="A67" s="192" t="str">
        <f>IF(COUNTBLANK(B67)=1," ",COUNTA(B$14:B67))</f>
        <v xml:space="preserve"> </v>
      </c>
      <c r="B67" s="193"/>
      <c r="C67" s="194" t="s">
        <v>107</v>
      </c>
      <c r="D67" s="214" t="s">
        <v>73</v>
      </c>
      <c r="E67" s="307">
        <f>E65*1.1</f>
        <v>161.04000000000002</v>
      </c>
      <c r="F67" s="196"/>
      <c r="G67" s="197"/>
      <c r="H67" s="200">
        <f t="shared" si="0"/>
        <v>0</v>
      </c>
      <c r="I67" s="197"/>
      <c r="J67" s="197"/>
      <c r="K67" s="217">
        <f t="shared" si="1"/>
        <v>0</v>
      </c>
      <c r="L67" s="201">
        <f t="shared" si="2"/>
        <v>0</v>
      </c>
      <c r="M67" s="200">
        <f t="shared" si="3"/>
        <v>0</v>
      </c>
      <c r="N67" s="200">
        <f t="shared" si="4"/>
        <v>0</v>
      </c>
      <c r="O67" s="200">
        <f t="shared" si="5"/>
        <v>0</v>
      </c>
      <c r="P67" s="217">
        <f t="shared" si="6"/>
        <v>0</v>
      </c>
    </row>
    <row r="68" spans="1:16" ht="22.5" x14ac:dyDescent="0.2">
      <c r="A68" s="192">
        <f>IF(COUNTBLANK(B68)=1," ",COUNTA(B$14:B68))</f>
        <v>28</v>
      </c>
      <c r="B68" s="198" t="s">
        <v>65</v>
      </c>
      <c r="C68" s="199" t="s">
        <v>108</v>
      </c>
      <c r="D68" s="128" t="s">
        <v>67</v>
      </c>
      <c r="E68" s="195">
        <v>25</v>
      </c>
      <c r="F68" s="196"/>
      <c r="G68" s="197"/>
      <c r="H68" s="200">
        <f t="shared" si="0"/>
        <v>0</v>
      </c>
      <c r="I68" s="197"/>
      <c r="J68" s="197"/>
      <c r="K68" s="217">
        <f t="shared" si="1"/>
        <v>0</v>
      </c>
      <c r="L68" s="201">
        <f t="shared" si="2"/>
        <v>0</v>
      </c>
      <c r="M68" s="200">
        <f t="shared" si="3"/>
        <v>0</v>
      </c>
      <c r="N68" s="200">
        <f t="shared" si="4"/>
        <v>0</v>
      </c>
      <c r="O68" s="200">
        <f t="shared" si="5"/>
        <v>0</v>
      </c>
      <c r="P68" s="217">
        <f t="shared" si="6"/>
        <v>0</v>
      </c>
    </row>
    <row r="69" spans="1:16" ht="22.5" x14ac:dyDescent="0.2">
      <c r="A69" s="192">
        <f>IF(COUNTBLANK(B69)=1," ",COUNTA(B$14:B69))</f>
        <v>29</v>
      </c>
      <c r="B69" s="198" t="s">
        <v>65</v>
      </c>
      <c r="C69" s="199" t="s">
        <v>109</v>
      </c>
      <c r="D69" s="128" t="s">
        <v>67</v>
      </c>
      <c r="E69" s="195">
        <v>290.00999999999993</v>
      </c>
      <c r="F69" s="196"/>
      <c r="G69" s="197"/>
      <c r="H69" s="200">
        <f t="shared" si="0"/>
        <v>0</v>
      </c>
      <c r="I69" s="197"/>
      <c r="J69" s="197"/>
      <c r="K69" s="217">
        <f t="shared" si="1"/>
        <v>0</v>
      </c>
      <c r="L69" s="201">
        <f t="shared" si="2"/>
        <v>0</v>
      </c>
      <c r="M69" s="200">
        <f t="shared" si="3"/>
        <v>0</v>
      </c>
      <c r="N69" s="200">
        <f t="shared" si="4"/>
        <v>0</v>
      </c>
      <c r="O69" s="200">
        <f t="shared" si="5"/>
        <v>0</v>
      </c>
      <c r="P69" s="217">
        <f t="shared" si="6"/>
        <v>0</v>
      </c>
    </row>
    <row r="70" spans="1:16" x14ac:dyDescent="0.2">
      <c r="A70" s="192">
        <f>IF(COUNTBLANK(B70)=1," ",COUNTA(B$14:B70))</f>
        <v>30</v>
      </c>
      <c r="B70" s="198" t="s">
        <v>65</v>
      </c>
      <c r="C70" s="199" t="s">
        <v>110</v>
      </c>
      <c r="D70" s="128" t="s">
        <v>67</v>
      </c>
      <c r="E70" s="195">
        <v>917.04</v>
      </c>
      <c r="F70" s="196"/>
      <c r="G70" s="197"/>
      <c r="H70" s="200">
        <f t="shared" si="0"/>
        <v>0</v>
      </c>
      <c r="I70" s="197"/>
      <c r="J70" s="197"/>
      <c r="K70" s="217">
        <f t="shared" si="1"/>
        <v>0</v>
      </c>
      <c r="L70" s="201">
        <f t="shared" si="2"/>
        <v>0</v>
      </c>
      <c r="M70" s="200">
        <f t="shared" si="3"/>
        <v>0</v>
      </c>
      <c r="N70" s="200">
        <f t="shared" si="4"/>
        <v>0</v>
      </c>
      <c r="O70" s="200">
        <f t="shared" si="5"/>
        <v>0</v>
      </c>
      <c r="P70" s="217">
        <f t="shared" si="6"/>
        <v>0</v>
      </c>
    </row>
    <row r="71" spans="1:16" x14ac:dyDescent="0.2">
      <c r="A71" s="192">
        <f>IF(COUNTBLANK(B71)=1," ",COUNTA(B$14:B71))</f>
        <v>31</v>
      </c>
      <c r="B71" s="198" t="s">
        <v>65</v>
      </c>
      <c r="C71" s="199" t="s">
        <v>111</v>
      </c>
      <c r="D71" s="128" t="s">
        <v>67</v>
      </c>
      <c r="E71" s="195">
        <v>1369.1199999999997</v>
      </c>
      <c r="F71" s="196"/>
      <c r="G71" s="197"/>
      <c r="H71" s="200">
        <f t="shared" si="0"/>
        <v>0</v>
      </c>
      <c r="I71" s="197"/>
      <c r="J71" s="197"/>
      <c r="K71" s="217">
        <f t="shared" si="1"/>
        <v>0</v>
      </c>
      <c r="L71" s="201">
        <f t="shared" si="2"/>
        <v>0</v>
      </c>
      <c r="M71" s="200">
        <f t="shared" si="3"/>
        <v>0</v>
      </c>
      <c r="N71" s="200">
        <f t="shared" si="4"/>
        <v>0</v>
      </c>
      <c r="O71" s="200">
        <f t="shared" si="5"/>
        <v>0</v>
      </c>
      <c r="P71" s="217">
        <f t="shared" si="6"/>
        <v>0</v>
      </c>
    </row>
    <row r="72" spans="1:16" x14ac:dyDescent="0.2">
      <c r="A72" s="192">
        <f>IF(COUNTBLANK(B72)=1," ",COUNTA(B$14:B72))</f>
        <v>32</v>
      </c>
      <c r="B72" s="198" t="s">
        <v>65</v>
      </c>
      <c r="C72" s="199" t="s">
        <v>112</v>
      </c>
      <c r="D72" s="128" t="s">
        <v>67</v>
      </c>
      <c r="E72" s="195">
        <v>452.07999999999993</v>
      </c>
      <c r="F72" s="196"/>
      <c r="G72" s="197"/>
      <c r="H72" s="200">
        <f t="shared" si="0"/>
        <v>0</v>
      </c>
      <c r="I72" s="197"/>
      <c r="J72" s="197"/>
      <c r="K72" s="217">
        <f t="shared" si="1"/>
        <v>0</v>
      </c>
      <c r="L72" s="201">
        <f t="shared" si="2"/>
        <v>0</v>
      </c>
      <c r="M72" s="200">
        <f t="shared" si="3"/>
        <v>0</v>
      </c>
      <c r="N72" s="200">
        <f t="shared" si="4"/>
        <v>0</v>
      </c>
      <c r="O72" s="200">
        <f t="shared" si="5"/>
        <v>0</v>
      </c>
      <c r="P72" s="217">
        <f t="shared" si="6"/>
        <v>0</v>
      </c>
    </row>
    <row r="73" spans="1:16" x14ac:dyDescent="0.2">
      <c r="A73" s="192">
        <f>IF(COUNTBLANK(B73)=1," ",COUNTA(B$14:B73))</f>
        <v>33</v>
      </c>
      <c r="B73" s="198" t="s">
        <v>65</v>
      </c>
      <c r="C73" s="199" t="s">
        <v>113</v>
      </c>
      <c r="D73" s="128" t="s">
        <v>67</v>
      </c>
      <c r="E73" s="195">
        <v>368.99999999999994</v>
      </c>
      <c r="F73" s="196"/>
      <c r="G73" s="197"/>
      <c r="H73" s="200">
        <f t="shared" si="0"/>
        <v>0</v>
      </c>
      <c r="I73" s="197"/>
      <c r="J73" s="197"/>
      <c r="K73" s="217">
        <f t="shared" si="1"/>
        <v>0</v>
      </c>
      <c r="L73" s="201">
        <f t="shared" si="2"/>
        <v>0</v>
      </c>
      <c r="M73" s="200">
        <f t="shared" si="3"/>
        <v>0</v>
      </c>
      <c r="N73" s="200">
        <f t="shared" si="4"/>
        <v>0</v>
      </c>
      <c r="O73" s="200">
        <f t="shared" si="5"/>
        <v>0</v>
      </c>
      <c r="P73" s="217">
        <f t="shared" si="6"/>
        <v>0</v>
      </c>
    </row>
    <row r="74" spans="1:16" x14ac:dyDescent="0.2">
      <c r="A74" s="192">
        <f>IF(COUNTBLANK(B74)=1," ",COUNTA(B$14:B74))</f>
        <v>34</v>
      </c>
      <c r="B74" s="198" t="s">
        <v>65</v>
      </c>
      <c r="C74" s="199" t="s">
        <v>114</v>
      </c>
      <c r="D74" s="128" t="s">
        <v>67</v>
      </c>
      <c r="E74" s="195">
        <v>225</v>
      </c>
      <c r="F74" s="196"/>
      <c r="G74" s="197"/>
      <c r="H74" s="200">
        <f t="shared" si="0"/>
        <v>0</v>
      </c>
      <c r="I74" s="197"/>
      <c r="J74" s="197"/>
      <c r="K74" s="217">
        <f t="shared" si="1"/>
        <v>0</v>
      </c>
      <c r="L74" s="201">
        <f t="shared" si="2"/>
        <v>0</v>
      </c>
      <c r="M74" s="200">
        <f t="shared" si="3"/>
        <v>0</v>
      </c>
      <c r="N74" s="200">
        <f t="shared" si="4"/>
        <v>0</v>
      </c>
      <c r="O74" s="200">
        <f t="shared" si="5"/>
        <v>0</v>
      </c>
      <c r="P74" s="217">
        <f t="shared" si="6"/>
        <v>0</v>
      </c>
    </row>
    <row r="75" spans="1:16" x14ac:dyDescent="0.2">
      <c r="A75" s="192">
        <f>IF(COUNTBLANK(B75)=1," ",COUNTA(B$14:B75))</f>
        <v>35</v>
      </c>
      <c r="B75" s="198" t="s">
        <v>65</v>
      </c>
      <c r="C75" s="199" t="s">
        <v>115</v>
      </c>
      <c r="D75" s="128" t="s">
        <v>67</v>
      </c>
      <c r="E75" s="195">
        <v>750.6</v>
      </c>
      <c r="F75" s="196"/>
      <c r="G75" s="197"/>
      <c r="H75" s="200">
        <f t="shared" si="0"/>
        <v>0</v>
      </c>
      <c r="I75" s="197"/>
      <c r="J75" s="197"/>
      <c r="K75" s="217">
        <f t="shared" si="1"/>
        <v>0</v>
      </c>
      <c r="L75" s="201">
        <f t="shared" si="2"/>
        <v>0</v>
      </c>
      <c r="M75" s="200">
        <f t="shared" si="3"/>
        <v>0</v>
      </c>
      <c r="N75" s="200">
        <f t="shared" si="4"/>
        <v>0</v>
      </c>
      <c r="O75" s="200">
        <f t="shared" si="5"/>
        <v>0</v>
      </c>
      <c r="P75" s="217">
        <f t="shared" si="6"/>
        <v>0</v>
      </c>
    </row>
    <row r="76" spans="1:16" ht="22.5" x14ac:dyDescent="0.2">
      <c r="A76" s="192">
        <f>IF(COUNTBLANK(B76)=1," ",COUNTA(B$14:B76))</f>
        <v>36</v>
      </c>
      <c r="B76" s="198" t="s">
        <v>65</v>
      </c>
      <c r="C76" s="199" t="s">
        <v>116</v>
      </c>
      <c r="D76" s="128" t="s">
        <v>67</v>
      </c>
      <c r="E76" s="195">
        <v>68</v>
      </c>
      <c r="F76" s="196"/>
      <c r="G76" s="197"/>
      <c r="H76" s="200">
        <f t="shared" si="0"/>
        <v>0</v>
      </c>
      <c r="I76" s="197"/>
      <c r="J76" s="197"/>
      <c r="K76" s="217">
        <f t="shared" si="1"/>
        <v>0</v>
      </c>
      <c r="L76" s="201">
        <f t="shared" si="2"/>
        <v>0</v>
      </c>
      <c r="M76" s="200">
        <f t="shared" si="3"/>
        <v>0</v>
      </c>
      <c r="N76" s="200">
        <f t="shared" si="4"/>
        <v>0</v>
      </c>
      <c r="O76" s="200">
        <f t="shared" si="5"/>
        <v>0</v>
      </c>
      <c r="P76" s="217">
        <f t="shared" si="6"/>
        <v>0</v>
      </c>
    </row>
    <row r="77" spans="1:16" x14ac:dyDescent="0.2">
      <c r="A77" s="192">
        <f>IF(COUNTBLANK(B77)=1," ",COUNTA(B$14:B77))</f>
        <v>37</v>
      </c>
      <c r="B77" s="198" t="s">
        <v>65</v>
      </c>
      <c r="C77" s="199" t="s">
        <v>117</v>
      </c>
      <c r="D77" s="128" t="s">
        <v>70</v>
      </c>
      <c r="E77" s="195">
        <v>1</v>
      </c>
      <c r="F77" s="196"/>
      <c r="G77" s="197"/>
      <c r="H77" s="200">
        <f t="shared" si="0"/>
        <v>0</v>
      </c>
      <c r="I77" s="197"/>
      <c r="J77" s="197"/>
      <c r="K77" s="217">
        <f t="shared" si="1"/>
        <v>0</v>
      </c>
      <c r="L77" s="201">
        <f t="shared" si="2"/>
        <v>0</v>
      </c>
      <c r="M77" s="200">
        <f t="shared" si="3"/>
        <v>0</v>
      </c>
      <c r="N77" s="200">
        <f t="shared" si="4"/>
        <v>0</v>
      </c>
      <c r="O77" s="200">
        <f t="shared" si="5"/>
        <v>0</v>
      </c>
      <c r="P77" s="217">
        <f t="shared" si="6"/>
        <v>0</v>
      </c>
    </row>
    <row r="78" spans="1:16" x14ac:dyDescent="0.2">
      <c r="A78" s="192">
        <f>IF(COUNTBLANK(B78)=1," ",COUNTA(B$14:B78))</f>
        <v>38</v>
      </c>
      <c r="B78" s="198" t="s">
        <v>65</v>
      </c>
      <c r="C78" s="199" t="s">
        <v>118</v>
      </c>
      <c r="D78" s="128" t="s">
        <v>73</v>
      </c>
      <c r="E78" s="195">
        <f>(1.2*6.24*60)+(1.2*3.04*36)</f>
        <v>580.60799999999995</v>
      </c>
      <c r="F78" s="196"/>
      <c r="G78" s="197"/>
      <c r="H78" s="200">
        <f t="shared" ref="H78:H88" si="7">ROUND(F78*G78,2)</f>
        <v>0</v>
      </c>
      <c r="I78" s="197"/>
      <c r="J78" s="197"/>
      <c r="K78" s="217">
        <f t="shared" ref="K78:K88" si="8">SUM(H78:J78)</f>
        <v>0</v>
      </c>
      <c r="L78" s="201">
        <f t="shared" ref="L78:L88" si="9">ROUND(E78*F78,2)</f>
        <v>0</v>
      </c>
      <c r="M78" s="200">
        <f t="shared" ref="M78:M88" si="10">ROUND(H78*E78,2)</f>
        <v>0</v>
      </c>
      <c r="N78" s="200">
        <f t="shared" ref="N78:N88" si="11">ROUND(I78*E78,2)</f>
        <v>0</v>
      </c>
      <c r="O78" s="200">
        <f t="shared" ref="O78:O88" si="12">ROUND(J78*E78,2)</f>
        <v>0</v>
      </c>
      <c r="P78" s="217">
        <f t="shared" ref="P78:P88" si="13">SUM(M78:O78)</f>
        <v>0</v>
      </c>
    </row>
    <row r="79" spans="1:16" x14ac:dyDescent="0.2">
      <c r="A79" s="192" t="str">
        <f>IF(COUNTBLANK(B79)=1," ",COUNTA(B$14:B79))</f>
        <v xml:space="preserve"> </v>
      </c>
      <c r="B79" s="198"/>
      <c r="C79" s="199" t="s">
        <v>119</v>
      </c>
      <c r="D79" s="128" t="s">
        <v>73</v>
      </c>
      <c r="E79" s="195">
        <f>E78</f>
        <v>580.60799999999995</v>
      </c>
      <c r="F79" s="196"/>
      <c r="G79" s="197"/>
      <c r="H79" s="200">
        <f t="shared" si="7"/>
        <v>0</v>
      </c>
      <c r="I79" s="197"/>
      <c r="J79" s="197"/>
      <c r="K79" s="217">
        <f t="shared" si="8"/>
        <v>0</v>
      </c>
      <c r="L79" s="201">
        <f t="shared" si="9"/>
        <v>0</v>
      </c>
      <c r="M79" s="200">
        <f t="shared" si="10"/>
        <v>0</v>
      </c>
      <c r="N79" s="200">
        <f t="shared" si="11"/>
        <v>0</v>
      </c>
      <c r="O79" s="200">
        <f t="shared" si="12"/>
        <v>0</v>
      </c>
      <c r="P79" s="217">
        <f t="shared" si="13"/>
        <v>0</v>
      </c>
    </row>
    <row r="80" spans="1:16" x14ac:dyDescent="0.2">
      <c r="A80" s="192" t="str">
        <f>IF(COUNTBLANK(B80)=1," ",COUNTA(B$14:B80))</f>
        <v xml:space="preserve"> </v>
      </c>
      <c r="B80" s="198"/>
      <c r="C80" s="199" t="s">
        <v>120</v>
      </c>
      <c r="D80" s="128" t="s">
        <v>73</v>
      </c>
      <c r="E80" s="195">
        <f>E78</f>
        <v>580.60799999999995</v>
      </c>
      <c r="F80" s="196"/>
      <c r="G80" s="197"/>
      <c r="H80" s="200">
        <f t="shared" si="7"/>
        <v>0</v>
      </c>
      <c r="I80" s="197"/>
      <c r="J80" s="197"/>
      <c r="K80" s="217">
        <f t="shared" si="8"/>
        <v>0</v>
      </c>
      <c r="L80" s="201">
        <f t="shared" si="9"/>
        <v>0</v>
      </c>
      <c r="M80" s="200">
        <f t="shared" si="10"/>
        <v>0</v>
      </c>
      <c r="N80" s="200">
        <f t="shared" si="11"/>
        <v>0</v>
      </c>
      <c r="O80" s="200">
        <f t="shared" si="12"/>
        <v>0</v>
      </c>
      <c r="P80" s="217">
        <f t="shared" si="13"/>
        <v>0</v>
      </c>
    </row>
    <row r="81" spans="1:16" x14ac:dyDescent="0.2">
      <c r="A81" s="192" t="str">
        <f>IF(COUNTBLANK(B81)=1," ",COUNTA(B$14:B81))</f>
        <v xml:space="preserve"> </v>
      </c>
      <c r="B81" s="198"/>
      <c r="C81" s="199" t="s">
        <v>121</v>
      </c>
      <c r="D81" s="128" t="s">
        <v>67</v>
      </c>
      <c r="E81" s="195">
        <f>1.03*192+(60*6.24)+(36*3.04)</f>
        <v>681.60000000000014</v>
      </c>
      <c r="F81" s="196"/>
      <c r="G81" s="197"/>
      <c r="H81" s="200">
        <f t="shared" si="7"/>
        <v>0</v>
      </c>
      <c r="I81" s="197"/>
      <c r="J81" s="197"/>
      <c r="K81" s="217">
        <f t="shared" si="8"/>
        <v>0</v>
      </c>
      <c r="L81" s="201">
        <f t="shared" si="9"/>
        <v>0</v>
      </c>
      <c r="M81" s="200">
        <f t="shared" si="10"/>
        <v>0</v>
      </c>
      <c r="N81" s="200">
        <f t="shared" si="11"/>
        <v>0</v>
      </c>
      <c r="O81" s="200">
        <f t="shared" si="12"/>
        <v>0</v>
      </c>
      <c r="P81" s="217">
        <f t="shared" si="13"/>
        <v>0</v>
      </c>
    </row>
    <row r="82" spans="1:16" x14ac:dyDescent="0.2">
      <c r="A82" s="192" t="str">
        <f>IF(COUNTBLANK(B82)=1," ",COUNTA(B$14:B82))</f>
        <v xml:space="preserve"> </v>
      </c>
      <c r="B82" s="198"/>
      <c r="C82" s="199" t="s">
        <v>436</v>
      </c>
      <c r="D82" s="128" t="s">
        <v>67</v>
      </c>
      <c r="E82" s="195">
        <f>E81</f>
        <v>681.60000000000014</v>
      </c>
      <c r="F82" s="196"/>
      <c r="G82" s="197"/>
      <c r="H82" s="200"/>
      <c r="I82" s="197"/>
      <c r="J82" s="197"/>
      <c r="K82" s="217"/>
      <c r="L82" s="201"/>
      <c r="M82" s="200"/>
      <c r="N82" s="200"/>
      <c r="O82" s="200"/>
      <c r="P82" s="217"/>
    </row>
    <row r="83" spans="1:16" x14ac:dyDescent="0.2">
      <c r="A83" s="192"/>
      <c r="B83" s="198"/>
      <c r="C83" s="199" t="s">
        <v>471</v>
      </c>
      <c r="D83" s="128" t="s">
        <v>73</v>
      </c>
      <c r="E83" s="195">
        <f>((12*5*6.24)+(4*3.04+8*4*3.04))*0.5</f>
        <v>241.92000000000002</v>
      </c>
      <c r="F83" s="196"/>
      <c r="G83" s="197"/>
      <c r="H83" s="200"/>
      <c r="I83" s="197"/>
      <c r="J83" s="197"/>
      <c r="K83" s="217"/>
      <c r="L83" s="201"/>
      <c r="M83" s="200"/>
      <c r="N83" s="200"/>
      <c r="O83" s="200"/>
      <c r="P83" s="217"/>
    </row>
    <row r="84" spans="1:16" x14ac:dyDescent="0.2">
      <c r="A84" s="192"/>
      <c r="B84" s="198"/>
      <c r="C84" s="199" t="s">
        <v>472</v>
      </c>
      <c r="D84" s="128" t="s">
        <v>73</v>
      </c>
      <c r="E84" s="195">
        <f>E83</f>
        <v>241.92000000000002</v>
      </c>
      <c r="F84" s="196"/>
      <c r="G84" s="197"/>
      <c r="H84" s="200"/>
      <c r="I84" s="197"/>
      <c r="J84" s="197"/>
      <c r="K84" s="217"/>
      <c r="L84" s="201"/>
      <c r="M84" s="200"/>
      <c r="N84" s="200"/>
      <c r="O84" s="200"/>
      <c r="P84" s="217"/>
    </row>
    <row r="85" spans="1:16" x14ac:dyDescent="0.2">
      <c r="A85" s="192"/>
      <c r="B85" s="198"/>
      <c r="C85" s="199" t="s">
        <v>467</v>
      </c>
      <c r="D85" s="128" t="s">
        <v>73</v>
      </c>
      <c r="E85" s="195">
        <f>E83</f>
        <v>241.92000000000002</v>
      </c>
      <c r="F85" s="196"/>
      <c r="G85" s="197"/>
      <c r="H85" s="200"/>
      <c r="I85" s="197"/>
      <c r="J85" s="197"/>
      <c r="K85" s="217"/>
      <c r="L85" s="201"/>
      <c r="M85" s="200"/>
      <c r="N85" s="200"/>
      <c r="O85" s="200"/>
      <c r="P85" s="217"/>
    </row>
    <row r="86" spans="1:16" x14ac:dyDescent="0.2">
      <c r="A86" s="192">
        <f>IF(COUNTBLANK(B86)=1," ",COUNTA(B$14:B86))</f>
        <v>39</v>
      </c>
      <c r="B86" s="198" t="s">
        <v>65</v>
      </c>
      <c r="C86" s="199" t="s">
        <v>122</v>
      </c>
      <c r="D86" s="128" t="s">
        <v>106</v>
      </c>
      <c r="E86" s="195">
        <f>E78*(1.27/1.2)</f>
        <v>614.47679999999991</v>
      </c>
      <c r="F86" s="196"/>
      <c r="G86" s="197"/>
      <c r="H86" s="200">
        <f t="shared" si="7"/>
        <v>0</v>
      </c>
      <c r="I86" s="197"/>
      <c r="J86" s="197"/>
      <c r="K86" s="217">
        <f t="shared" si="8"/>
        <v>0</v>
      </c>
      <c r="L86" s="201">
        <f t="shared" si="9"/>
        <v>0</v>
      </c>
      <c r="M86" s="200">
        <f t="shared" si="10"/>
        <v>0</v>
      </c>
      <c r="N86" s="200">
        <f t="shared" si="11"/>
        <v>0</v>
      </c>
      <c r="O86" s="200">
        <f t="shared" si="12"/>
        <v>0</v>
      </c>
      <c r="P86" s="217">
        <f t="shared" si="13"/>
        <v>0</v>
      </c>
    </row>
    <row r="87" spans="1:16" x14ac:dyDescent="0.2">
      <c r="A87" s="192">
        <f>IF(COUNTBLANK(B87)=1," ",COUNTA(B$14:B87))</f>
        <v>40</v>
      </c>
      <c r="B87" s="198" t="s">
        <v>65</v>
      </c>
      <c r="C87" s="199" t="s">
        <v>123</v>
      </c>
      <c r="D87" s="128" t="s">
        <v>124</v>
      </c>
      <c r="E87" s="195">
        <v>35</v>
      </c>
      <c r="F87" s="196"/>
      <c r="G87" s="197"/>
      <c r="H87" s="200">
        <f t="shared" si="7"/>
        <v>0</v>
      </c>
      <c r="I87" s="197"/>
      <c r="J87" s="197"/>
      <c r="K87" s="217">
        <f t="shared" si="8"/>
        <v>0</v>
      </c>
      <c r="L87" s="201">
        <f t="shared" si="9"/>
        <v>0</v>
      </c>
      <c r="M87" s="200">
        <f t="shared" si="10"/>
        <v>0</v>
      </c>
      <c r="N87" s="200">
        <f t="shared" si="11"/>
        <v>0</v>
      </c>
      <c r="O87" s="200">
        <f t="shared" si="12"/>
        <v>0</v>
      </c>
      <c r="P87" s="217">
        <f t="shared" si="13"/>
        <v>0</v>
      </c>
    </row>
    <row r="88" spans="1:16" ht="12" thickBot="1" x14ac:dyDescent="0.25">
      <c r="A88" s="192" t="str">
        <f>IF(COUNTBLANK(B88)=1," ",COUNTA(B$14:B88))</f>
        <v xml:space="preserve"> </v>
      </c>
      <c r="B88" s="198"/>
      <c r="C88" s="199" t="s">
        <v>125</v>
      </c>
      <c r="D88" s="128" t="s">
        <v>126</v>
      </c>
      <c r="E88" s="195">
        <v>5</v>
      </c>
      <c r="F88" s="196"/>
      <c r="G88" s="197"/>
      <c r="H88" s="200">
        <f t="shared" si="7"/>
        <v>0</v>
      </c>
      <c r="I88" s="197"/>
      <c r="J88" s="197"/>
      <c r="K88" s="217">
        <f t="shared" si="8"/>
        <v>0</v>
      </c>
      <c r="L88" s="284">
        <f t="shared" si="9"/>
        <v>0</v>
      </c>
      <c r="M88" s="285">
        <f t="shared" si="10"/>
        <v>0</v>
      </c>
      <c r="N88" s="285">
        <f t="shared" si="11"/>
        <v>0</v>
      </c>
      <c r="O88" s="285">
        <f t="shared" si="12"/>
        <v>0</v>
      </c>
      <c r="P88" s="286">
        <f t="shared" si="13"/>
        <v>0</v>
      </c>
    </row>
    <row r="89" spans="1:16" ht="12" thickBot="1" x14ac:dyDescent="0.25">
      <c r="A89" s="382" t="s">
        <v>514</v>
      </c>
      <c r="B89" s="383"/>
      <c r="C89" s="383"/>
      <c r="D89" s="383"/>
      <c r="E89" s="383"/>
      <c r="F89" s="383"/>
      <c r="G89" s="383"/>
      <c r="H89" s="383"/>
      <c r="I89" s="383"/>
      <c r="J89" s="383"/>
      <c r="K89" s="384"/>
      <c r="L89" s="219">
        <f>SUM(L14:L88)</f>
        <v>0</v>
      </c>
      <c r="M89" s="220">
        <f>SUM(M14:M88)</f>
        <v>0</v>
      </c>
      <c r="N89" s="220">
        <f>SUM(N14:N88)</f>
        <v>0</v>
      </c>
      <c r="O89" s="220">
        <f>SUM(O14:O88)</f>
        <v>0</v>
      </c>
      <c r="P89" s="221">
        <f>SUM(P14:P88)</f>
        <v>0</v>
      </c>
    </row>
    <row r="90" spans="1:16" x14ac:dyDescent="0.2">
      <c r="A90" s="182"/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</row>
    <row r="91" spans="1:16" x14ac:dyDescent="0.2">
      <c r="A91" s="182"/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</row>
    <row r="92" spans="1:16" x14ac:dyDescent="0.2">
      <c r="A92" s="179" t="s">
        <v>14</v>
      </c>
      <c r="B92" s="182"/>
      <c r="C92" s="380">
        <f>'Kops a'!C32:H32</f>
        <v>0</v>
      </c>
      <c r="D92" s="380"/>
      <c r="E92" s="380"/>
      <c r="F92" s="380"/>
      <c r="G92" s="380"/>
      <c r="H92" s="380"/>
      <c r="I92" s="182"/>
      <c r="J92" s="182"/>
      <c r="K92" s="182"/>
      <c r="L92" s="182"/>
      <c r="M92" s="182"/>
      <c r="N92" s="182"/>
      <c r="O92" s="182"/>
      <c r="P92" s="182"/>
    </row>
    <row r="93" spans="1:16" x14ac:dyDescent="0.2">
      <c r="A93" s="182"/>
      <c r="B93" s="182"/>
      <c r="C93" s="381" t="s">
        <v>15</v>
      </c>
      <c r="D93" s="381"/>
      <c r="E93" s="381"/>
      <c r="F93" s="381"/>
      <c r="G93" s="381"/>
      <c r="H93" s="381"/>
      <c r="I93" s="182"/>
      <c r="J93" s="182"/>
      <c r="K93" s="182"/>
      <c r="L93" s="182"/>
      <c r="M93" s="182"/>
      <c r="N93" s="182"/>
      <c r="O93" s="182"/>
      <c r="P93" s="182"/>
    </row>
    <row r="94" spans="1:16" x14ac:dyDescent="0.2">
      <c r="A94" s="182"/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</row>
    <row r="95" spans="1:16" x14ac:dyDescent="0.2">
      <c r="A95" s="208" t="str">
        <f>'Kops a'!A35</f>
        <v>Tāme sastādīta 2021. gada</v>
      </c>
      <c r="B95" s="209"/>
      <c r="C95" s="209"/>
      <c r="D95" s="209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</row>
    <row r="96" spans="1:16" x14ac:dyDescent="0.2">
      <c r="A96" s="182"/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</row>
    <row r="97" spans="1:16" x14ac:dyDescent="0.2">
      <c r="A97" s="179" t="s">
        <v>37</v>
      </c>
      <c r="B97" s="182"/>
      <c r="C97" s="380">
        <f>'Kops a'!C37:H37</f>
        <v>0</v>
      </c>
      <c r="D97" s="380"/>
      <c r="E97" s="380"/>
      <c r="F97" s="380"/>
      <c r="G97" s="380"/>
      <c r="H97" s="380"/>
      <c r="I97" s="182"/>
      <c r="J97" s="182"/>
      <c r="K97" s="182"/>
      <c r="L97" s="182"/>
      <c r="M97" s="182"/>
      <c r="N97" s="182"/>
      <c r="O97" s="182"/>
      <c r="P97" s="182"/>
    </row>
    <row r="98" spans="1:16" x14ac:dyDescent="0.2">
      <c r="A98" s="182"/>
      <c r="B98" s="182"/>
      <c r="C98" s="381" t="s">
        <v>15</v>
      </c>
      <c r="D98" s="381"/>
      <c r="E98" s="381"/>
      <c r="F98" s="381"/>
      <c r="G98" s="381"/>
      <c r="H98" s="381"/>
      <c r="I98" s="182"/>
      <c r="J98" s="182"/>
      <c r="K98" s="182"/>
      <c r="L98" s="182"/>
      <c r="M98" s="182"/>
      <c r="N98" s="182"/>
      <c r="O98" s="182"/>
      <c r="P98" s="182"/>
    </row>
    <row r="99" spans="1:16" x14ac:dyDescent="0.2">
      <c r="A99" s="182"/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</row>
    <row r="100" spans="1:16" x14ac:dyDescent="0.2">
      <c r="A100" s="208" t="s">
        <v>54</v>
      </c>
      <c r="B100" s="209"/>
      <c r="C100" s="210">
        <f>'Kops a'!C40</f>
        <v>0</v>
      </c>
      <c r="D100" s="211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</row>
    <row r="101" spans="1:16" x14ac:dyDescent="0.2">
      <c r="A101" s="182"/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</row>
    <row r="102" spans="1:16" ht="12" x14ac:dyDescent="0.2">
      <c r="A102" s="222" t="s">
        <v>316</v>
      </c>
      <c r="B102" s="223"/>
      <c r="C102" s="222"/>
      <c r="D102" s="222"/>
      <c r="E102" s="224"/>
      <c r="F102" s="225"/>
      <c r="G102" s="224"/>
      <c r="H102" s="226"/>
      <c r="I102" s="226"/>
      <c r="J102" s="227"/>
      <c r="K102" s="228"/>
      <c r="L102" s="228"/>
      <c r="M102" s="228"/>
      <c r="N102" s="228"/>
      <c r="O102" s="228"/>
    </row>
    <row r="103" spans="1:16" ht="12" x14ac:dyDescent="0.2">
      <c r="A103" s="385" t="s">
        <v>317</v>
      </c>
      <c r="B103" s="385"/>
      <c r="C103" s="385"/>
      <c r="D103" s="385"/>
      <c r="E103" s="385"/>
      <c r="F103" s="385"/>
      <c r="G103" s="385"/>
      <c r="H103" s="385"/>
      <c r="I103" s="385"/>
      <c r="J103" s="385"/>
      <c r="K103" s="385"/>
      <c r="L103" s="385"/>
      <c r="M103" s="385"/>
      <c r="N103" s="385"/>
      <c r="O103" s="385"/>
    </row>
    <row r="104" spans="1:16" ht="12" x14ac:dyDescent="0.2">
      <c r="A104" s="385" t="s">
        <v>318</v>
      </c>
      <c r="B104" s="385"/>
      <c r="C104" s="385"/>
      <c r="D104" s="385"/>
      <c r="E104" s="385"/>
      <c r="F104" s="385"/>
      <c r="G104" s="385"/>
      <c r="H104" s="385"/>
      <c r="I104" s="385"/>
      <c r="J104" s="385"/>
      <c r="K104" s="385"/>
      <c r="L104" s="385"/>
      <c r="M104" s="385"/>
      <c r="N104" s="385"/>
      <c r="O104" s="385"/>
    </row>
  </sheetData>
  <mergeCells count="24">
    <mergeCell ref="A103:O103"/>
    <mergeCell ref="A104:O104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97:H97"/>
    <mergeCell ref="C98:H98"/>
    <mergeCell ref="C92:H92"/>
    <mergeCell ref="C93:H93"/>
    <mergeCell ref="A89:K89"/>
  </mergeCells>
  <conditionalFormatting sqref="F52:G57 A14:G14 B15:G51 B58:G58 B59:B64 F59:G64 I14:J88 A15:A64 A66:G88 A65:B65 D65:G65">
    <cfRule type="cellIs" dxfId="158" priority="24" operator="equal">
      <formula>0</formula>
    </cfRule>
  </conditionalFormatting>
  <conditionalFormatting sqref="N9:O9 H14:H88 K14:P88">
    <cfRule type="cellIs" dxfId="157" priority="22" operator="equal">
      <formula>0</formula>
    </cfRule>
  </conditionalFormatting>
  <conditionalFormatting sqref="A9:F9">
    <cfRule type="containsText" dxfId="156" priority="2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5" priority="19" operator="equal">
      <formula>0</formula>
    </cfRule>
  </conditionalFormatting>
  <conditionalFormatting sqref="O10:P10">
    <cfRule type="cellIs" dxfId="154" priority="18" operator="equal">
      <formula>"20__. gada __. _________"</formula>
    </cfRule>
  </conditionalFormatting>
  <conditionalFormatting sqref="A89:K89">
    <cfRule type="containsText" dxfId="153" priority="16" operator="containsText" text="Tiešās izmaksas kopā, t. sk. darba devēja sociālais nodoklis __.__% ">
      <formula>NOT(ISERROR(SEARCH("Tiešās izmaksas kopā, t. sk. darba devēja sociālais nodoklis __.__% ",A89)))</formula>
    </cfRule>
  </conditionalFormatting>
  <conditionalFormatting sqref="C97:H97">
    <cfRule type="cellIs" dxfId="152" priority="13" operator="equal">
      <formula>0</formula>
    </cfRule>
  </conditionalFormatting>
  <conditionalFormatting sqref="C92:H92">
    <cfRule type="cellIs" dxfId="151" priority="12" operator="equal">
      <formula>0</formula>
    </cfRule>
  </conditionalFormatting>
  <conditionalFormatting sqref="L89:P89">
    <cfRule type="cellIs" dxfId="150" priority="11" operator="equal">
      <formula>0</formula>
    </cfRule>
  </conditionalFormatting>
  <conditionalFormatting sqref="C4:I4">
    <cfRule type="cellIs" dxfId="149" priority="10" operator="equal">
      <formula>0</formula>
    </cfRule>
  </conditionalFormatting>
  <conditionalFormatting sqref="D5:L8">
    <cfRule type="cellIs" dxfId="148" priority="8" operator="equal">
      <formula>0</formula>
    </cfRule>
  </conditionalFormatting>
  <conditionalFormatting sqref="C97:H97 C100 C92:H92">
    <cfRule type="cellIs" dxfId="147" priority="7" operator="equal">
      <formula>0</formula>
    </cfRule>
  </conditionalFormatting>
  <conditionalFormatting sqref="D1">
    <cfRule type="cellIs" dxfId="146" priority="6" operator="equal">
      <formula>0</formula>
    </cfRule>
  </conditionalFormatting>
  <conditionalFormatting sqref="C55:E55">
    <cfRule type="cellIs" dxfId="145" priority="3" operator="equal">
      <formula>0</formula>
    </cfRule>
  </conditionalFormatting>
  <conditionalFormatting sqref="B52:E54 B56:E57 B55">
    <cfRule type="cellIs" dxfId="144" priority="4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rowBreaks count="1" manualBreakCount="1">
    <brk id="86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BC596309-6EE4-47E0-A590-F3D2F6DA868B}">
            <xm:f>NOT(ISERROR(SEARCH("Tāme sastādīta ____. gada ___. ______________",A95)))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A95</xm:sqref>
        </x14:conditionalFormatting>
        <x14:conditionalFormatting xmlns:xm="http://schemas.microsoft.com/office/excel/2006/main">
          <x14:cfRule type="containsText" priority="14" operator="containsText" id="{A5053C80-E745-4777-A201-BBBD02E74FC0}">
            <xm:f>NOT(ISERROR(SEARCH("Sertifikāta Nr. _________________________________",A100)))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>
    <tabColor rgb="FFFF0000"/>
    <pageSetUpPr fitToPage="1"/>
  </sheetPr>
  <dimension ref="A1:P67"/>
  <sheetViews>
    <sheetView view="pageBreakPreview" topLeftCell="A4" zoomScaleNormal="100" zoomScaleSheetLayoutView="100" zoomScalePageLayoutView="85" workbookViewId="0">
      <selection activeCell="A53" sqref="A53"/>
    </sheetView>
  </sheetViews>
  <sheetFormatPr defaultColWidth="9.140625" defaultRowHeight="11.25" x14ac:dyDescent="0.2"/>
  <cols>
    <col min="1" max="1" width="4.5703125" style="179" customWidth="1"/>
    <col min="2" max="2" width="5.28515625" style="179" customWidth="1"/>
    <col min="3" max="3" width="38.42578125" style="179" customWidth="1"/>
    <col min="4" max="4" width="5.85546875" style="179" customWidth="1"/>
    <col min="5" max="5" width="8.7109375" style="179" customWidth="1"/>
    <col min="6" max="6" width="5.42578125" style="179" customWidth="1"/>
    <col min="7" max="7" width="4.85546875" style="179" customWidth="1"/>
    <col min="8" max="10" width="6.7109375" style="179" customWidth="1"/>
    <col min="11" max="11" width="7" style="179" customWidth="1"/>
    <col min="12" max="15" width="7.7109375" style="179" customWidth="1"/>
    <col min="16" max="16" width="9" style="179" customWidth="1"/>
    <col min="17" max="16384" width="9.140625" style="179"/>
  </cols>
  <sheetData>
    <row r="1" spans="1:16" x14ac:dyDescent="0.2">
      <c r="A1" s="176"/>
      <c r="B1" s="176"/>
      <c r="C1" s="177" t="s">
        <v>38</v>
      </c>
      <c r="D1" s="178">
        <f>'Kops a'!A16</f>
        <v>2</v>
      </c>
      <c r="E1" s="176"/>
      <c r="F1" s="176"/>
      <c r="G1" s="176"/>
      <c r="H1" s="176"/>
      <c r="I1" s="176"/>
      <c r="J1" s="176"/>
      <c r="N1" s="180"/>
      <c r="O1" s="177"/>
      <c r="P1" s="181"/>
    </row>
    <row r="2" spans="1:16" x14ac:dyDescent="0.2">
      <c r="A2" s="176"/>
      <c r="B2" s="176"/>
      <c r="C2" s="386" t="s">
        <v>127</v>
      </c>
      <c r="D2" s="386"/>
      <c r="E2" s="386"/>
      <c r="F2" s="386"/>
      <c r="G2" s="386"/>
      <c r="H2" s="386"/>
      <c r="I2" s="386"/>
      <c r="J2" s="176"/>
    </row>
    <row r="3" spans="1:16" x14ac:dyDescent="0.2">
      <c r="A3" s="212"/>
      <c r="B3" s="212"/>
      <c r="C3" s="387" t="s">
        <v>17</v>
      </c>
      <c r="D3" s="387"/>
      <c r="E3" s="387"/>
      <c r="F3" s="387"/>
      <c r="G3" s="387"/>
      <c r="H3" s="387"/>
      <c r="I3" s="387"/>
      <c r="J3" s="212"/>
    </row>
    <row r="4" spans="1:16" x14ac:dyDescent="0.2">
      <c r="A4" s="212"/>
      <c r="B4" s="212"/>
      <c r="C4" s="388" t="s">
        <v>52</v>
      </c>
      <c r="D4" s="388"/>
      <c r="E4" s="388"/>
      <c r="F4" s="388"/>
      <c r="G4" s="388"/>
      <c r="H4" s="388"/>
      <c r="I4" s="388"/>
      <c r="J4" s="212"/>
    </row>
    <row r="5" spans="1:16" x14ac:dyDescent="0.2">
      <c r="A5" s="176"/>
      <c r="B5" s="176"/>
      <c r="C5" s="177" t="s">
        <v>5</v>
      </c>
      <c r="D5" s="377" t="str">
        <f>'Kops a'!D6</f>
        <v>Daudzdzīvokļu dzīvojamā ēka</v>
      </c>
      <c r="E5" s="377"/>
      <c r="F5" s="377"/>
      <c r="G5" s="377"/>
      <c r="H5" s="377"/>
      <c r="I5" s="377"/>
      <c r="J5" s="377"/>
      <c r="K5" s="377"/>
      <c r="L5" s="377"/>
      <c r="M5" s="182"/>
      <c r="N5" s="182"/>
      <c r="O5" s="182"/>
      <c r="P5" s="182"/>
    </row>
    <row r="6" spans="1:16" x14ac:dyDescent="0.2">
      <c r="A6" s="176"/>
      <c r="B6" s="176"/>
      <c r="C6" s="177" t="s">
        <v>6</v>
      </c>
      <c r="D6" s="377" t="str">
        <f>'Kops a'!D7</f>
        <v>Daudzdzīvokļu dzīvojamās ēkas energoefektivitātes paaugstināšanas pasākumi</v>
      </c>
      <c r="E6" s="377"/>
      <c r="F6" s="377"/>
      <c r="G6" s="377"/>
      <c r="H6" s="377"/>
      <c r="I6" s="377"/>
      <c r="J6" s="377"/>
      <c r="K6" s="377"/>
      <c r="L6" s="377"/>
      <c r="M6" s="182"/>
      <c r="N6" s="182"/>
      <c r="O6" s="182"/>
      <c r="P6" s="182"/>
    </row>
    <row r="7" spans="1:16" x14ac:dyDescent="0.2">
      <c r="A7" s="176"/>
      <c r="B7" s="176"/>
      <c r="C7" s="177" t="s">
        <v>7</v>
      </c>
      <c r="D7" s="377" t="str">
        <f>'Kops a'!D8</f>
        <v>Rojas iela 2, Liepāja</v>
      </c>
      <c r="E7" s="377"/>
      <c r="F7" s="377"/>
      <c r="G7" s="377"/>
      <c r="H7" s="377"/>
      <c r="I7" s="377"/>
      <c r="J7" s="377"/>
      <c r="K7" s="377"/>
      <c r="L7" s="377"/>
      <c r="M7" s="182"/>
      <c r="N7" s="182"/>
      <c r="O7" s="182"/>
      <c r="P7" s="182"/>
    </row>
    <row r="8" spans="1:16" x14ac:dyDescent="0.2">
      <c r="A8" s="176"/>
      <c r="B8" s="176"/>
      <c r="C8" s="183" t="s">
        <v>20</v>
      </c>
      <c r="D8" s="377" t="str">
        <f>'Kops a'!D9</f>
        <v>WS-54-15</v>
      </c>
      <c r="E8" s="377"/>
      <c r="F8" s="377"/>
      <c r="G8" s="377"/>
      <c r="H8" s="377"/>
      <c r="I8" s="377"/>
      <c r="J8" s="377"/>
      <c r="K8" s="377"/>
      <c r="L8" s="377"/>
      <c r="M8" s="182"/>
      <c r="N8" s="182"/>
      <c r="O8" s="182"/>
      <c r="P8" s="182"/>
    </row>
    <row r="9" spans="1:16" ht="11.25" customHeight="1" x14ac:dyDescent="0.2">
      <c r="A9" s="389" t="s">
        <v>513</v>
      </c>
      <c r="B9" s="389"/>
      <c r="C9" s="389"/>
      <c r="D9" s="389"/>
      <c r="E9" s="389"/>
      <c r="F9" s="389"/>
      <c r="G9" s="184"/>
      <c r="H9" s="184"/>
      <c r="I9" s="184"/>
      <c r="J9" s="393" t="s">
        <v>39</v>
      </c>
      <c r="K9" s="393"/>
      <c r="L9" s="393"/>
      <c r="M9" s="393"/>
      <c r="N9" s="401">
        <f>P52</f>
        <v>0</v>
      </c>
      <c r="O9" s="401"/>
      <c r="P9" s="184"/>
    </row>
    <row r="10" spans="1:16" x14ac:dyDescent="0.2">
      <c r="A10" s="185"/>
      <c r="B10" s="186"/>
      <c r="C10" s="183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O10" s="229"/>
      <c r="P10" s="188" t="str">
        <f>A58</f>
        <v>Tāme sastādīta 2021. gada</v>
      </c>
    </row>
    <row r="11" spans="1:16" ht="12" thickBot="1" x14ac:dyDescent="0.25">
      <c r="A11" s="185"/>
      <c r="B11" s="186"/>
      <c r="C11" s="183"/>
      <c r="D11" s="176"/>
      <c r="E11" s="176"/>
      <c r="F11" s="176"/>
      <c r="G11" s="176"/>
      <c r="H11" s="176"/>
      <c r="I11" s="176"/>
      <c r="J11" s="176"/>
      <c r="K11" s="176"/>
      <c r="L11" s="177"/>
      <c r="M11" s="177"/>
      <c r="N11" s="189"/>
      <c r="O11" s="180"/>
      <c r="P11" s="176"/>
    </row>
    <row r="12" spans="1:16" x14ac:dyDescent="0.2">
      <c r="A12" s="394" t="s">
        <v>23</v>
      </c>
      <c r="B12" s="396" t="s">
        <v>40</v>
      </c>
      <c r="C12" s="391" t="s">
        <v>41</v>
      </c>
      <c r="D12" s="399" t="s">
        <v>42</v>
      </c>
      <c r="E12" s="378" t="s">
        <v>43</v>
      </c>
      <c r="F12" s="390" t="s">
        <v>44</v>
      </c>
      <c r="G12" s="391"/>
      <c r="H12" s="391"/>
      <c r="I12" s="391"/>
      <c r="J12" s="391"/>
      <c r="K12" s="392"/>
      <c r="L12" s="390" t="s">
        <v>45</v>
      </c>
      <c r="M12" s="391"/>
      <c r="N12" s="391"/>
      <c r="O12" s="391"/>
      <c r="P12" s="392"/>
    </row>
    <row r="13" spans="1:16" ht="126.75" customHeight="1" thickBot="1" x14ac:dyDescent="0.25">
      <c r="A13" s="395"/>
      <c r="B13" s="397"/>
      <c r="C13" s="398"/>
      <c r="D13" s="400"/>
      <c r="E13" s="379"/>
      <c r="F13" s="190" t="s">
        <v>46</v>
      </c>
      <c r="G13" s="191" t="s">
        <v>47</v>
      </c>
      <c r="H13" s="191" t="s">
        <v>48</v>
      </c>
      <c r="I13" s="191" t="s">
        <v>49</v>
      </c>
      <c r="J13" s="191" t="s">
        <v>50</v>
      </c>
      <c r="K13" s="213" t="s">
        <v>51</v>
      </c>
      <c r="L13" s="190" t="s">
        <v>46</v>
      </c>
      <c r="M13" s="191" t="s">
        <v>48</v>
      </c>
      <c r="N13" s="191" t="s">
        <v>49</v>
      </c>
      <c r="O13" s="191" t="s">
        <v>50</v>
      </c>
      <c r="P13" s="213" t="s">
        <v>51</v>
      </c>
    </row>
    <row r="14" spans="1:16" x14ac:dyDescent="0.2">
      <c r="A14" s="192">
        <f>IF(COUNTBLANK(B14)=1," ",COUNTA(B$14:B14))</f>
        <v>1</v>
      </c>
      <c r="B14" s="193" t="s">
        <v>65</v>
      </c>
      <c r="C14" s="194" t="s">
        <v>128</v>
      </c>
      <c r="D14" s="214" t="s">
        <v>73</v>
      </c>
      <c r="E14" s="195">
        <v>237.82150000000001</v>
      </c>
      <c r="F14" s="196"/>
      <c r="G14" s="197"/>
      <c r="H14" s="197">
        <f>ROUND(F14*G14,2)</f>
        <v>0</v>
      </c>
      <c r="I14" s="197"/>
      <c r="J14" s="197"/>
      <c r="K14" s="215">
        <f>SUM(H14:J14)</f>
        <v>0</v>
      </c>
      <c r="L14" s="253">
        <f>ROUND(E14*F14,2)</f>
        <v>0</v>
      </c>
      <c r="M14" s="254">
        <f>ROUND(H14*E14,2)</f>
        <v>0</v>
      </c>
      <c r="N14" s="254">
        <f>ROUND(I14*E14,2)</f>
        <v>0</v>
      </c>
      <c r="O14" s="254">
        <f>ROUND(J14*E14,2)</f>
        <v>0</v>
      </c>
      <c r="P14" s="255">
        <f>SUM(M14:O14)</f>
        <v>0</v>
      </c>
    </row>
    <row r="15" spans="1:16" x14ac:dyDescent="0.2">
      <c r="A15" s="192">
        <f>IF(COUNTBLANK(B15)=1," ",COUNTA(B$14:B15))</f>
        <v>2</v>
      </c>
      <c r="B15" s="198" t="s">
        <v>65</v>
      </c>
      <c r="C15" s="199" t="s">
        <v>129</v>
      </c>
      <c r="D15" s="128" t="s">
        <v>67</v>
      </c>
      <c r="E15" s="195">
        <f>apjomi!O23</f>
        <v>402.48599999999993</v>
      </c>
      <c r="F15" s="196"/>
      <c r="G15" s="197"/>
      <c r="H15" s="200">
        <f t="shared" ref="H15:H51" si="0">ROUND(F15*G15,2)</f>
        <v>0</v>
      </c>
      <c r="I15" s="197"/>
      <c r="J15" s="197"/>
      <c r="K15" s="217">
        <f t="shared" ref="K15:K51" si="1">SUM(H15:J15)</f>
        <v>0</v>
      </c>
      <c r="L15" s="201">
        <f t="shared" ref="L15:L51" si="2">ROUND(E15*F15,2)</f>
        <v>0</v>
      </c>
      <c r="M15" s="200">
        <f t="shared" ref="M15:M51" si="3">ROUND(H15*E15,2)</f>
        <v>0</v>
      </c>
      <c r="N15" s="200">
        <f t="shared" ref="N15:N51" si="4">ROUND(I15*E15,2)</f>
        <v>0</v>
      </c>
      <c r="O15" s="200">
        <f t="shared" ref="O15:O51" si="5">ROUND(J15*E15,2)</f>
        <v>0</v>
      </c>
      <c r="P15" s="217">
        <f t="shared" ref="P15:P51" si="6">SUM(M15:O15)</f>
        <v>0</v>
      </c>
    </row>
    <row r="16" spans="1:16" x14ac:dyDescent="0.2">
      <c r="A16" s="192">
        <f>IF(COUNTBLANK(B16)=1," ",COUNTA(B$14:B16))</f>
        <v>3</v>
      </c>
      <c r="B16" s="198" t="s">
        <v>65</v>
      </c>
      <c r="C16" s="199" t="s">
        <v>130</v>
      </c>
      <c r="D16" s="128" t="s">
        <v>70</v>
      </c>
      <c r="E16" s="195">
        <v>36</v>
      </c>
      <c r="F16" s="196"/>
      <c r="G16" s="197"/>
      <c r="H16" s="200">
        <f t="shared" si="0"/>
        <v>0</v>
      </c>
      <c r="I16" s="197"/>
      <c r="J16" s="197"/>
      <c r="K16" s="217">
        <f t="shared" si="1"/>
        <v>0</v>
      </c>
      <c r="L16" s="201">
        <f t="shared" si="2"/>
        <v>0</v>
      </c>
      <c r="M16" s="200">
        <f t="shared" si="3"/>
        <v>0</v>
      </c>
      <c r="N16" s="200">
        <f t="shared" si="4"/>
        <v>0</v>
      </c>
      <c r="O16" s="200">
        <f t="shared" si="5"/>
        <v>0</v>
      </c>
      <c r="P16" s="217">
        <f t="shared" si="6"/>
        <v>0</v>
      </c>
    </row>
    <row r="17" spans="1:16" x14ac:dyDescent="0.2">
      <c r="A17" s="192">
        <f>IF(COUNTBLANK(B17)=1," ",COUNTA(B$14:B17))</f>
        <v>4</v>
      </c>
      <c r="B17" s="198" t="s">
        <v>65</v>
      </c>
      <c r="C17" s="199" t="s">
        <v>131</v>
      </c>
      <c r="D17" s="128" t="s">
        <v>70</v>
      </c>
      <c r="E17" s="195">
        <v>156</v>
      </c>
      <c r="F17" s="196"/>
      <c r="G17" s="197"/>
      <c r="H17" s="200">
        <f t="shared" si="0"/>
        <v>0</v>
      </c>
      <c r="I17" s="197"/>
      <c r="J17" s="197"/>
      <c r="K17" s="217">
        <f t="shared" si="1"/>
        <v>0</v>
      </c>
      <c r="L17" s="201">
        <f t="shared" si="2"/>
        <v>0</v>
      </c>
      <c r="M17" s="200">
        <f t="shared" si="3"/>
        <v>0</v>
      </c>
      <c r="N17" s="200">
        <f t="shared" si="4"/>
        <v>0</v>
      </c>
      <c r="O17" s="200">
        <f t="shared" si="5"/>
        <v>0</v>
      </c>
      <c r="P17" s="217">
        <f t="shared" si="6"/>
        <v>0</v>
      </c>
    </row>
    <row r="18" spans="1:16" ht="90" x14ac:dyDescent="0.2">
      <c r="A18" s="192">
        <f>IF(COUNTBLANK(B18)=1," ",COUNTA(B$14:B18))</f>
        <v>5</v>
      </c>
      <c r="B18" s="198" t="s">
        <v>65</v>
      </c>
      <c r="C18" s="199" t="s">
        <v>502</v>
      </c>
      <c r="D18" s="128" t="s">
        <v>70</v>
      </c>
      <c r="E18" s="195">
        <v>156</v>
      </c>
      <c r="F18" s="196"/>
      <c r="G18" s="197"/>
      <c r="H18" s="200">
        <f t="shared" si="0"/>
        <v>0</v>
      </c>
      <c r="I18" s="197"/>
      <c r="J18" s="197"/>
      <c r="K18" s="217">
        <f t="shared" si="1"/>
        <v>0</v>
      </c>
      <c r="L18" s="201">
        <f t="shared" si="2"/>
        <v>0</v>
      </c>
      <c r="M18" s="200">
        <f t="shared" si="3"/>
        <v>0</v>
      </c>
      <c r="N18" s="200">
        <f t="shared" si="4"/>
        <v>0</v>
      </c>
      <c r="O18" s="200">
        <f t="shared" si="5"/>
        <v>0</v>
      </c>
      <c r="P18" s="217">
        <f t="shared" si="6"/>
        <v>0</v>
      </c>
    </row>
    <row r="19" spans="1:16" ht="90" x14ac:dyDescent="0.2">
      <c r="A19" s="192" t="str">
        <f>IF(COUNTBLANK(B19)=1," ",COUNTA(B$14:B19))</f>
        <v xml:space="preserve"> </v>
      </c>
      <c r="B19" s="198"/>
      <c r="C19" s="199" t="s">
        <v>501</v>
      </c>
      <c r="D19" s="128"/>
      <c r="E19" s="195"/>
      <c r="F19" s="196"/>
      <c r="G19" s="197"/>
      <c r="H19" s="200">
        <f t="shared" si="0"/>
        <v>0</v>
      </c>
      <c r="I19" s="197"/>
      <c r="J19" s="197"/>
      <c r="K19" s="217">
        <f t="shared" si="1"/>
        <v>0</v>
      </c>
      <c r="L19" s="201">
        <f t="shared" si="2"/>
        <v>0</v>
      </c>
      <c r="M19" s="200">
        <f t="shared" si="3"/>
        <v>0</v>
      </c>
      <c r="N19" s="200">
        <f t="shared" si="4"/>
        <v>0</v>
      </c>
      <c r="O19" s="200">
        <f t="shared" si="5"/>
        <v>0</v>
      </c>
      <c r="P19" s="217">
        <f t="shared" si="6"/>
        <v>0</v>
      </c>
    </row>
    <row r="20" spans="1:16" x14ac:dyDescent="0.2">
      <c r="A20" s="192">
        <f>IF(COUNTBLANK(B20)=1," ",COUNTA(B$14:B20))</f>
        <v>6</v>
      </c>
      <c r="B20" s="198" t="s">
        <v>65</v>
      </c>
      <c r="C20" s="199" t="s">
        <v>132</v>
      </c>
      <c r="D20" s="128" t="s">
        <v>126</v>
      </c>
      <c r="E20" s="195">
        <v>20</v>
      </c>
      <c r="F20" s="196"/>
      <c r="G20" s="197"/>
      <c r="H20" s="200">
        <f t="shared" si="0"/>
        <v>0</v>
      </c>
      <c r="I20" s="197"/>
      <c r="J20" s="197"/>
      <c r="K20" s="217">
        <f t="shared" si="1"/>
        <v>0</v>
      </c>
      <c r="L20" s="201">
        <f t="shared" si="2"/>
        <v>0</v>
      </c>
      <c r="M20" s="200">
        <f t="shared" si="3"/>
        <v>0</v>
      </c>
      <c r="N20" s="200">
        <f t="shared" si="4"/>
        <v>0</v>
      </c>
      <c r="O20" s="200">
        <f t="shared" si="5"/>
        <v>0</v>
      </c>
      <c r="P20" s="217">
        <f t="shared" si="6"/>
        <v>0</v>
      </c>
    </row>
    <row r="21" spans="1:16" ht="22.5" x14ac:dyDescent="0.2">
      <c r="A21" s="192">
        <f>IF(COUNTBLANK(B21)=1," ",COUNTA(B$14:B21))</f>
        <v>7</v>
      </c>
      <c r="B21" s="198" t="s">
        <v>65</v>
      </c>
      <c r="C21" s="199" t="s">
        <v>387</v>
      </c>
      <c r="D21" s="128" t="s">
        <v>126</v>
      </c>
      <c r="E21" s="195">
        <v>5</v>
      </c>
      <c r="F21" s="196"/>
      <c r="G21" s="197"/>
      <c r="H21" s="200">
        <f t="shared" si="0"/>
        <v>0</v>
      </c>
      <c r="I21" s="197"/>
      <c r="J21" s="197"/>
      <c r="K21" s="217">
        <f t="shared" si="1"/>
        <v>0</v>
      </c>
      <c r="L21" s="201">
        <f t="shared" si="2"/>
        <v>0</v>
      </c>
      <c r="M21" s="200">
        <f t="shared" si="3"/>
        <v>0</v>
      </c>
      <c r="N21" s="200">
        <f t="shared" si="4"/>
        <v>0</v>
      </c>
      <c r="O21" s="200">
        <f t="shared" si="5"/>
        <v>0</v>
      </c>
      <c r="P21" s="217">
        <f t="shared" si="6"/>
        <v>0</v>
      </c>
    </row>
    <row r="22" spans="1:16" ht="22.5" x14ac:dyDescent="0.2">
      <c r="A22" s="192">
        <f>IF(COUNTBLANK(B22)=1," ",COUNTA(B$14:B22))</f>
        <v>8</v>
      </c>
      <c r="B22" s="198" t="s">
        <v>65</v>
      </c>
      <c r="C22" s="199" t="s">
        <v>390</v>
      </c>
      <c r="D22" s="128" t="s">
        <v>126</v>
      </c>
      <c r="E22" s="195">
        <v>8</v>
      </c>
      <c r="F22" s="196"/>
      <c r="G22" s="197"/>
      <c r="H22" s="200">
        <f t="shared" si="0"/>
        <v>0</v>
      </c>
      <c r="I22" s="197"/>
      <c r="J22" s="197"/>
      <c r="K22" s="217">
        <f t="shared" si="1"/>
        <v>0</v>
      </c>
      <c r="L22" s="201">
        <f t="shared" si="2"/>
        <v>0</v>
      </c>
      <c r="M22" s="200">
        <f t="shared" si="3"/>
        <v>0</v>
      </c>
      <c r="N22" s="200">
        <f t="shared" si="4"/>
        <v>0</v>
      </c>
      <c r="O22" s="200">
        <f t="shared" si="5"/>
        <v>0</v>
      </c>
      <c r="P22" s="217">
        <f t="shared" si="6"/>
        <v>0</v>
      </c>
    </row>
    <row r="23" spans="1:16" ht="22.5" x14ac:dyDescent="0.2">
      <c r="A23" s="192">
        <f>IF(COUNTBLANK(B23)=1," ",COUNTA(B$14:B23))</f>
        <v>9</v>
      </c>
      <c r="B23" s="198" t="s">
        <v>65</v>
      </c>
      <c r="C23" s="199" t="s">
        <v>388</v>
      </c>
      <c r="D23" s="128" t="s">
        <v>126</v>
      </c>
      <c r="E23" s="195">
        <v>15</v>
      </c>
      <c r="F23" s="196"/>
      <c r="G23" s="197"/>
      <c r="H23" s="200">
        <f t="shared" si="0"/>
        <v>0</v>
      </c>
      <c r="I23" s="197"/>
      <c r="J23" s="197"/>
      <c r="K23" s="217">
        <f t="shared" si="1"/>
        <v>0</v>
      </c>
      <c r="L23" s="201">
        <f t="shared" si="2"/>
        <v>0</v>
      </c>
      <c r="M23" s="200">
        <f t="shared" si="3"/>
        <v>0</v>
      </c>
      <c r="N23" s="200">
        <f t="shared" si="4"/>
        <v>0</v>
      </c>
      <c r="O23" s="200">
        <f t="shared" si="5"/>
        <v>0</v>
      </c>
      <c r="P23" s="217">
        <f t="shared" si="6"/>
        <v>0</v>
      </c>
    </row>
    <row r="24" spans="1:16" ht="22.5" x14ac:dyDescent="0.2">
      <c r="A24" s="192">
        <f>IF(COUNTBLANK(B24)=1," ",COUNTA(B$14:B24))</f>
        <v>10</v>
      </c>
      <c r="B24" s="198" t="s">
        <v>65</v>
      </c>
      <c r="C24" s="199" t="s">
        <v>389</v>
      </c>
      <c r="D24" s="128" t="s">
        <v>126</v>
      </c>
      <c r="E24" s="195">
        <v>7</v>
      </c>
      <c r="F24" s="196"/>
      <c r="G24" s="197"/>
      <c r="H24" s="200">
        <f t="shared" si="0"/>
        <v>0</v>
      </c>
      <c r="I24" s="197"/>
      <c r="J24" s="197"/>
      <c r="K24" s="217">
        <f t="shared" si="1"/>
        <v>0</v>
      </c>
      <c r="L24" s="201">
        <f t="shared" si="2"/>
        <v>0</v>
      </c>
      <c r="M24" s="200">
        <f t="shared" si="3"/>
        <v>0</v>
      </c>
      <c r="N24" s="200">
        <f t="shared" si="4"/>
        <v>0</v>
      </c>
      <c r="O24" s="200">
        <f t="shared" si="5"/>
        <v>0</v>
      </c>
      <c r="P24" s="217">
        <f t="shared" si="6"/>
        <v>0</v>
      </c>
    </row>
    <row r="25" spans="1:16" x14ac:dyDescent="0.2">
      <c r="A25" s="192">
        <f>IF(COUNTBLANK(B25)=1," ",COUNTA(B$14:B25))</f>
        <v>11</v>
      </c>
      <c r="B25" s="198" t="s">
        <v>65</v>
      </c>
      <c r="C25" s="199" t="s">
        <v>133</v>
      </c>
      <c r="D25" s="128" t="s">
        <v>126</v>
      </c>
      <c r="E25" s="195">
        <v>3</v>
      </c>
      <c r="F25" s="196"/>
      <c r="G25" s="197"/>
      <c r="H25" s="200">
        <f t="shared" si="0"/>
        <v>0</v>
      </c>
      <c r="I25" s="197"/>
      <c r="J25" s="197"/>
      <c r="K25" s="217">
        <f t="shared" si="1"/>
        <v>0</v>
      </c>
      <c r="L25" s="201">
        <f t="shared" si="2"/>
        <v>0</v>
      </c>
      <c r="M25" s="200">
        <f t="shared" si="3"/>
        <v>0</v>
      </c>
      <c r="N25" s="200">
        <f t="shared" si="4"/>
        <v>0</v>
      </c>
      <c r="O25" s="200">
        <f t="shared" si="5"/>
        <v>0</v>
      </c>
      <c r="P25" s="217">
        <f t="shared" si="6"/>
        <v>0</v>
      </c>
    </row>
    <row r="26" spans="1:16" x14ac:dyDescent="0.2">
      <c r="A26" s="192">
        <f>IF(COUNTBLANK(B26)=1," ",COUNTA(B$14:B26))</f>
        <v>12</v>
      </c>
      <c r="B26" s="198" t="s">
        <v>65</v>
      </c>
      <c r="C26" s="199" t="s">
        <v>134</v>
      </c>
      <c r="D26" s="128" t="s">
        <v>126</v>
      </c>
      <c r="E26" s="195">
        <v>2</v>
      </c>
      <c r="F26" s="196"/>
      <c r="G26" s="197"/>
      <c r="H26" s="200">
        <f t="shared" si="0"/>
        <v>0</v>
      </c>
      <c r="I26" s="197"/>
      <c r="J26" s="197"/>
      <c r="K26" s="217">
        <f t="shared" si="1"/>
        <v>0</v>
      </c>
      <c r="L26" s="201">
        <f t="shared" si="2"/>
        <v>0</v>
      </c>
      <c r="M26" s="200">
        <f t="shared" si="3"/>
        <v>0</v>
      </c>
      <c r="N26" s="200">
        <f t="shared" si="4"/>
        <v>0</v>
      </c>
      <c r="O26" s="200">
        <f t="shared" si="5"/>
        <v>0</v>
      </c>
      <c r="P26" s="217">
        <f t="shared" si="6"/>
        <v>0</v>
      </c>
    </row>
    <row r="27" spans="1:16" x14ac:dyDescent="0.2">
      <c r="A27" s="192">
        <f>IF(COUNTBLANK(B27)=1," ",COUNTA(B$14:B27))</f>
        <v>13</v>
      </c>
      <c r="B27" s="198" t="s">
        <v>65</v>
      </c>
      <c r="C27" s="199" t="s">
        <v>135</v>
      </c>
      <c r="D27" s="128" t="s">
        <v>126</v>
      </c>
      <c r="E27" s="195">
        <v>2</v>
      </c>
      <c r="F27" s="196"/>
      <c r="G27" s="197"/>
      <c r="H27" s="200">
        <f t="shared" si="0"/>
        <v>0</v>
      </c>
      <c r="I27" s="197"/>
      <c r="J27" s="197"/>
      <c r="K27" s="217">
        <f t="shared" si="1"/>
        <v>0</v>
      </c>
      <c r="L27" s="201">
        <f t="shared" si="2"/>
        <v>0</v>
      </c>
      <c r="M27" s="200">
        <f t="shared" si="3"/>
        <v>0</v>
      </c>
      <c r="N27" s="200">
        <f t="shared" si="4"/>
        <v>0</v>
      </c>
      <c r="O27" s="200">
        <f t="shared" si="5"/>
        <v>0</v>
      </c>
      <c r="P27" s="217">
        <f t="shared" si="6"/>
        <v>0</v>
      </c>
    </row>
    <row r="28" spans="1:16" x14ac:dyDescent="0.2">
      <c r="A28" s="192">
        <f>IF(COUNTBLANK(B28)=1," ",COUNTA(B$14:B28))</f>
        <v>14</v>
      </c>
      <c r="B28" s="198" t="s">
        <v>65</v>
      </c>
      <c r="C28" s="199" t="s">
        <v>136</v>
      </c>
      <c r="D28" s="128" t="s">
        <v>73</v>
      </c>
      <c r="E28" s="307">
        <f>apjomi!I4+apjomi!I5+apjomi!I6+apjomi!I7+apjomi!I8+apjomi!I9+apjomi!I10+apjomi!I11+apjomi!I12+apjomi!I13+apjomi!I14+apjomi!I15+apjomi!I16+apjomi!I17+apjomi!I18</f>
        <v>192.43750000000003</v>
      </c>
      <c r="F28" s="196"/>
      <c r="G28" s="197"/>
      <c r="H28" s="200">
        <f t="shared" si="0"/>
        <v>0</v>
      </c>
      <c r="I28" s="197"/>
      <c r="J28" s="197"/>
      <c r="K28" s="217">
        <f t="shared" si="1"/>
        <v>0</v>
      </c>
      <c r="L28" s="201">
        <f t="shared" si="2"/>
        <v>0</v>
      </c>
      <c r="M28" s="200">
        <f t="shared" si="3"/>
        <v>0</v>
      </c>
      <c r="N28" s="200">
        <f t="shared" si="4"/>
        <v>0</v>
      </c>
      <c r="O28" s="200">
        <f t="shared" si="5"/>
        <v>0</v>
      </c>
      <c r="P28" s="217">
        <f t="shared" si="6"/>
        <v>0</v>
      </c>
    </row>
    <row r="29" spans="1:16" x14ac:dyDescent="0.2">
      <c r="A29" s="192" t="str">
        <f>IF(COUNTBLANK(B29)=1," ",COUNTA(B$14:B29))</f>
        <v xml:space="preserve"> </v>
      </c>
      <c r="B29" s="198"/>
      <c r="C29" s="324" t="s">
        <v>137</v>
      </c>
      <c r="D29" s="322" t="s">
        <v>126</v>
      </c>
      <c r="E29" s="326">
        <f>ROUNDUP(E28*2.6,0)</f>
        <v>501</v>
      </c>
      <c r="F29" s="196"/>
      <c r="G29" s="197"/>
      <c r="H29" s="200">
        <f t="shared" si="0"/>
        <v>0</v>
      </c>
      <c r="I29" s="197"/>
      <c r="J29" s="197"/>
      <c r="K29" s="217">
        <f t="shared" si="1"/>
        <v>0</v>
      </c>
      <c r="L29" s="201">
        <f t="shared" si="2"/>
        <v>0</v>
      </c>
      <c r="M29" s="200">
        <f t="shared" si="3"/>
        <v>0</v>
      </c>
      <c r="N29" s="200">
        <f t="shared" si="4"/>
        <v>0</v>
      </c>
      <c r="O29" s="200">
        <f t="shared" si="5"/>
        <v>0</v>
      </c>
      <c r="P29" s="217">
        <f t="shared" si="6"/>
        <v>0</v>
      </c>
    </row>
    <row r="30" spans="1:16" x14ac:dyDescent="0.2">
      <c r="A30" s="192" t="str">
        <f>IF(COUNTBLANK(B30)=1," ",COUNTA(B$14:B30))</f>
        <v xml:space="preserve"> </v>
      </c>
      <c r="B30" s="198"/>
      <c r="C30" s="325" t="s">
        <v>138</v>
      </c>
      <c r="D30" s="323" t="s">
        <v>126</v>
      </c>
      <c r="E30" s="326">
        <f>ROUNDUP(E28*2,0)</f>
        <v>385</v>
      </c>
      <c r="F30" s="196"/>
      <c r="G30" s="197"/>
      <c r="H30" s="200">
        <f t="shared" si="0"/>
        <v>0</v>
      </c>
      <c r="I30" s="197"/>
      <c r="J30" s="197"/>
      <c r="K30" s="217">
        <f t="shared" si="1"/>
        <v>0</v>
      </c>
      <c r="L30" s="201">
        <f t="shared" si="2"/>
        <v>0</v>
      </c>
      <c r="M30" s="200">
        <f t="shared" si="3"/>
        <v>0</v>
      </c>
      <c r="N30" s="200">
        <f t="shared" si="4"/>
        <v>0</v>
      </c>
      <c r="O30" s="200">
        <f t="shared" si="5"/>
        <v>0</v>
      </c>
      <c r="P30" s="217">
        <f t="shared" si="6"/>
        <v>0</v>
      </c>
    </row>
    <row r="31" spans="1:16" x14ac:dyDescent="0.2">
      <c r="A31" s="192" t="str">
        <f>IF(COUNTBLANK(B31)=1," ",COUNTA(B$14:B31))</f>
        <v xml:space="preserve"> </v>
      </c>
      <c r="B31" s="198"/>
      <c r="C31" s="324" t="s">
        <v>139</v>
      </c>
      <c r="D31" s="322" t="s">
        <v>140</v>
      </c>
      <c r="E31" s="326">
        <f>ROUNDUP(E28*0.4,0)</f>
        <v>77</v>
      </c>
      <c r="F31" s="196"/>
      <c r="G31" s="197"/>
      <c r="H31" s="200">
        <f t="shared" si="0"/>
        <v>0</v>
      </c>
      <c r="I31" s="197"/>
      <c r="J31" s="197"/>
      <c r="K31" s="217">
        <f t="shared" si="1"/>
        <v>0</v>
      </c>
      <c r="L31" s="201">
        <f t="shared" si="2"/>
        <v>0</v>
      </c>
      <c r="M31" s="200">
        <f t="shared" si="3"/>
        <v>0</v>
      </c>
      <c r="N31" s="200">
        <f t="shared" si="4"/>
        <v>0</v>
      </c>
      <c r="O31" s="200">
        <f t="shared" si="5"/>
        <v>0</v>
      </c>
      <c r="P31" s="217">
        <f t="shared" si="6"/>
        <v>0</v>
      </c>
    </row>
    <row r="32" spans="1:16" x14ac:dyDescent="0.2">
      <c r="A32" s="192" t="str">
        <f>IF(COUNTBLANK(B32)=1," ",COUNTA(B$14:B32))</f>
        <v xml:space="preserve"> </v>
      </c>
      <c r="B32" s="198"/>
      <c r="C32" s="324" t="s">
        <v>141</v>
      </c>
      <c r="D32" s="322" t="s">
        <v>126</v>
      </c>
      <c r="E32" s="326">
        <f>ROUNDUP(E28*2.5,0)</f>
        <v>482</v>
      </c>
      <c r="F32" s="196"/>
      <c r="G32" s="197"/>
      <c r="H32" s="200">
        <f t="shared" si="0"/>
        <v>0</v>
      </c>
      <c r="I32" s="197"/>
      <c r="J32" s="197"/>
      <c r="K32" s="217">
        <f t="shared" si="1"/>
        <v>0</v>
      </c>
      <c r="L32" s="201">
        <f t="shared" si="2"/>
        <v>0</v>
      </c>
      <c r="M32" s="200">
        <f t="shared" si="3"/>
        <v>0</v>
      </c>
      <c r="N32" s="200">
        <f t="shared" si="4"/>
        <v>0</v>
      </c>
      <c r="O32" s="200">
        <f t="shared" si="5"/>
        <v>0</v>
      </c>
      <c r="P32" s="217">
        <f t="shared" si="6"/>
        <v>0</v>
      </c>
    </row>
    <row r="33" spans="1:16" x14ac:dyDescent="0.2">
      <c r="A33" s="192" t="str">
        <f>IF(COUNTBLANK(B33)=1," ",COUNTA(B$14:B33))</f>
        <v xml:space="preserve"> </v>
      </c>
      <c r="B33" s="198"/>
      <c r="C33" s="324" t="s">
        <v>142</v>
      </c>
      <c r="D33" s="322" t="s">
        <v>140</v>
      </c>
      <c r="E33" s="326">
        <f>ROUNDUP(E28*0.25,2)</f>
        <v>48.11</v>
      </c>
      <c r="F33" s="196"/>
      <c r="G33" s="197"/>
      <c r="H33" s="200">
        <f t="shared" si="0"/>
        <v>0</v>
      </c>
      <c r="I33" s="197"/>
      <c r="J33" s="197"/>
      <c r="K33" s="217">
        <f t="shared" si="1"/>
        <v>0</v>
      </c>
      <c r="L33" s="201">
        <f t="shared" si="2"/>
        <v>0</v>
      </c>
      <c r="M33" s="200">
        <f t="shared" si="3"/>
        <v>0</v>
      </c>
      <c r="N33" s="200">
        <f t="shared" si="4"/>
        <v>0</v>
      </c>
      <c r="O33" s="200">
        <f t="shared" si="5"/>
        <v>0</v>
      </c>
      <c r="P33" s="217">
        <f t="shared" si="6"/>
        <v>0</v>
      </c>
    </row>
    <row r="34" spans="1:16" x14ac:dyDescent="0.2">
      <c r="A34" s="192">
        <f>IF(COUNTBLANK(B34)=1," ",COUNTA(B$14:B34))</f>
        <v>15</v>
      </c>
      <c r="B34" s="198" t="s">
        <v>65</v>
      </c>
      <c r="C34" s="199" t="s">
        <v>143</v>
      </c>
      <c r="D34" s="128" t="s">
        <v>126</v>
      </c>
      <c r="E34" s="195">
        <v>6</v>
      </c>
      <c r="F34" s="196"/>
      <c r="G34" s="197"/>
      <c r="H34" s="200">
        <f t="shared" si="0"/>
        <v>0</v>
      </c>
      <c r="I34" s="197"/>
      <c r="J34" s="197"/>
      <c r="K34" s="217">
        <f t="shared" si="1"/>
        <v>0</v>
      </c>
      <c r="L34" s="201">
        <f t="shared" si="2"/>
        <v>0</v>
      </c>
      <c r="M34" s="200">
        <f t="shared" si="3"/>
        <v>0</v>
      </c>
      <c r="N34" s="200">
        <f t="shared" si="4"/>
        <v>0</v>
      </c>
      <c r="O34" s="200">
        <f t="shared" si="5"/>
        <v>0</v>
      </c>
      <c r="P34" s="217">
        <f t="shared" si="6"/>
        <v>0</v>
      </c>
    </row>
    <row r="35" spans="1:16" x14ac:dyDescent="0.2">
      <c r="A35" s="192">
        <f>IF(COUNTBLANK(B35)=1," ",COUNTA(B$14:B35))</f>
        <v>16</v>
      </c>
      <c r="B35" s="198" t="s">
        <v>65</v>
      </c>
      <c r="C35" s="199" t="s">
        <v>144</v>
      </c>
      <c r="D35" s="128" t="s">
        <v>73</v>
      </c>
      <c r="E35" s="195">
        <f>apjomi!I19+apjomi!I20+apjomi!I21+apjomi!I22</f>
        <v>17.36</v>
      </c>
      <c r="F35" s="196"/>
      <c r="G35" s="197"/>
      <c r="H35" s="200">
        <f t="shared" si="0"/>
        <v>0</v>
      </c>
      <c r="I35" s="197"/>
      <c r="J35" s="197"/>
      <c r="K35" s="217">
        <f t="shared" si="1"/>
        <v>0</v>
      </c>
      <c r="L35" s="201">
        <f t="shared" si="2"/>
        <v>0</v>
      </c>
      <c r="M35" s="200">
        <f t="shared" si="3"/>
        <v>0</v>
      </c>
      <c r="N35" s="200">
        <f t="shared" si="4"/>
        <v>0</v>
      </c>
      <c r="O35" s="200">
        <f t="shared" si="5"/>
        <v>0</v>
      </c>
      <c r="P35" s="217">
        <f t="shared" si="6"/>
        <v>0</v>
      </c>
    </row>
    <row r="36" spans="1:16" x14ac:dyDescent="0.2">
      <c r="A36" s="192" t="str">
        <f>IF(COUNTBLANK(B36)=1," ",COUNTA(B$14:B36))</f>
        <v xml:space="preserve"> </v>
      </c>
      <c r="B36" s="198"/>
      <c r="C36" s="324" t="s">
        <v>137</v>
      </c>
      <c r="D36" s="322" t="s">
        <v>126</v>
      </c>
      <c r="E36" s="326">
        <f>ROUNDUP(E35*2.6,0)</f>
        <v>46</v>
      </c>
      <c r="F36" s="196"/>
      <c r="G36" s="197"/>
      <c r="H36" s="200">
        <f t="shared" si="0"/>
        <v>0</v>
      </c>
      <c r="I36" s="197"/>
      <c r="J36" s="197"/>
      <c r="K36" s="217">
        <f t="shared" si="1"/>
        <v>0</v>
      </c>
      <c r="L36" s="201">
        <f t="shared" si="2"/>
        <v>0</v>
      </c>
      <c r="M36" s="200">
        <f t="shared" si="3"/>
        <v>0</v>
      </c>
      <c r="N36" s="200">
        <f t="shared" si="4"/>
        <v>0</v>
      </c>
      <c r="O36" s="200">
        <f t="shared" si="5"/>
        <v>0</v>
      </c>
      <c r="P36" s="217">
        <f t="shared" si="6"/>
        <v>0</v>
      </c>
    </row>
    <row r="37" spans="1:16" x14ac:dyDescent="0.2">
      <c r="A37" s="192" t="str">
        <f>IF(COUNTBLANK(B37)=1," ",COUNTA(B$14:B37))</f>
        <v xml:space="preserve"> </v>
      </c>
      <c r="B37" s="198"/>
      <c r="C37" s="325" t="s">
        <v>138</v>
      </c>
      <c r="D37" s="323" t="s">
        <v>126</v>
      </c>
      <c r="E37" s="326">
        <f>ROUNDUP(E35*2,0)</f>
        <v>35</v>
      </c>
      <c r="F37" s="196"/>
      <c r="G37" s="197"/>
      <c r="H37" s="200">
        <f t="shared" si="0"/>
        <v>0</v>
      </c>
      <c r="I37" s="197"/>
      <c r="J37" s="197"/>
      <c r="K37" s="217">
        <f t="shared" si="1"/>
        <v>0</v>
      </c>
      <c r="L37" s="201">
        <f t="shared" si="2"/>
        <v>0</v>
      </c>
      <c r="M37" s="200">
        <f t="shared" si="3"/>
        <v>0</v>
      </c>
      <c r="N37" s="200">
        <f t="shared" si="4"/>
        <v>0</v>
      </c>
      <c r="O37" s="200">
        <f t="shared" si="5"/>
        <v>0</v>
      </c>
      <c r="P37" s="217">
        <f t="shared" si="6"/>
        <v>0</v>
      </c>
    </row>
    <row r="38" spans="1:16" x14ac:dyDescent="0.2">
      <c r="A38" s="192" t="str">
        <f>IF(COUNTBLANK(B38)=1," ",COUNTA(B$14:B38))</f>
        <v xml:space="preserve"> </v>
      </c>
      <c r="B38" s="198"/>
      <c r="C38" s="324" t="s">
        <v>139</v>
      </c>
      <c r="D38" s="322" t="s">
        <v>140</v>
      </c>
      <c r="E38" s="326">
        <f>ROUNDUP(E35*0.4,0)</f>
        <v>7</v>
      </c>
      <c r="F38" s="196"/>
      <c r="G38" s="197"/>
      <c r="H38" s="200">
        <f t="shared" si="0"/>
        <v>0</v>
      </c>
      <c r="I38" s="197"/>
      <c r="J38" s="197"/>
      <c r="K38" s="217">
        <f t="shared" si="1"/>
        <v>0</v>
      </c>
      <c r="L38" s="201">
        <f t="shared" si="2"/>
        <v>0</v>
      </c>
      <c r="M38" s="200">
        <f t="shared" si="3"/>
        <v>0</v>
      </c>
      <c r="N38" s="200">
        <f t="shared" si="4"/>
        <v>0</v>
      </c>
      <c r="O38" s="200">
        <f t="shared" si="5"/>
        <v>0</v>
      </c>
      <c r="P38" s="217">
        <f t="shared" si="6"/>
        <v>0</v>
      </c>
    </row>
    <row r="39" spans="1:16" x14ac:dyDescent="0.2">
      <c r="A39" s="192" t="str">
        <f>IF(COUNTBLANK(B39)=1," ",COUNTA(B$14:B39))</f>
        <v xml:space="preserve"> </v>
      </c>
      <c r="B39" s="198"/>
      <c r="C39" s="324" t="s">
        <v>141</v>
      </c>
      <c r="D39" s="322" t="s">
        <v>126</v>
      </c>
      <c r="E39" s="326">
        <f>ROUNDUP(E35*2.5,0)</f>
        <v>44</v>
      </c>
      <c r="F39" s="196"/>
      <c r="G39" s="197"/>
      <c r="H39" s="200">
        <f t="shared" si="0"/>
        <v>0</v>
      </c>
      <c r="I39" s="197"/>
      <c r="J39" s="197"/>
      <c r="K39" s="217">
        <f t="shared" si="1"/>
        <v>0</v>
      </c>
      <c r="L39" s="201">
        <f t="shared" si="2"/>
        <v>0</v>
      </c>
      <c r="M39" s="200">
        <f t="shared" si="3"/>
        <v>0</v>
      </c>
      <c r="N39" s="200">
        <f t="shared" si="4"/>
        <v>0</v>
      </c>
      <c r="O39" s="200">
        <f t="shared" si="5"/>
        <v>0</v>
      </c>
      <c r="P39" s="217">
        <f t="shared" si="6"/>
        <v>0</v>
      </c>
    </row>
    <row r="40" spans="1:16" x14ac:dyDescent="0.2">
      <c r="A40" s="192" t="str">
        <f>IF(COUNTBLANK(B40)=1," ",COUNTA(B$14:B40))</f>
        <v xml:space="preserve"> </v>
      </c>
      <c r="B40" s="198"/>
      <c r="C40" s="324" t="s">
        <v>142</v>
      </c>
      <c r="D40" s="322" t="s">
        <v>140</v>
      </c>
      <c r="E40" s="326">
        <f>ROUNDUP(E35*0.25,2)</f>
        <v>4.34</v>
      </c>
      <c r="F40" s="196"/>
      <c r="G40" s="197"/>
      <c r="H40" s="200">
        <f t="shared" si="0"/>
        <v>0</v>
      </c>
      <c r="I40" s="197"/>
      <c r="J40" s="197"/>
      <c r="K40" s="217">
        <f t="shared" si="1"/>
        <v>0</v>
      </c>
      <c r="L40" s="201">
        <f t="shared" si="2"/>
        <v>0</v>
      </c>
      <c r="M40" s="200">
        <f t="shared" si="3"/>
        <v>0</v>
      </c>
      <c r="N40" s="200">
        <f t="shared" si="4"/>
        <v>0</v>
      </c>
      <c r="O40" s="200">
        <f t="shared" si="5"/>
        <v>0</v>
      </c>
      <c r="P40" s="217">
        <f t="shared" si="6"/>
        <v>0</v>
      </c>
    </row>
    <row r="41" spans="1:16" x14ac:dyDescent="0.2">
      <c r="A41" s="192">
        <f>IF(COUNTBLANK(B41)=1," ",COUNTA(B$14:B41))</f>
        <v>17</v>
      </c>
      <c r="B41" s="198" t="s">
        <v>65</v>
      </c>
      <c r="C41" s="199" t="s">
        <v>461</v>
      </c>
      <c r="D41" s="128" t="s">
        <v>67</v>
      </c>
      <c r="E41" s="195">
        <f>apjomi!J23</f>
        <v>1783.44</v>
      </c>
      <c r="F41" s="196"/>
      <c r="G41" s="197"/>
      <c r="H41" s="200">
        <f t="shared" si="0"/>
        <v>0</v>
      </c>
      <c r="I41" s="197"/>
      <c r="J41" s="197"/>
      <c r="K41" s="217">
        <f t="shared" si="1"/>
        <v>0</v>
      </c>
      <c r="L41" s="201">
        <f t="shared" si="2"/>
        <v>0</v>
      </c>
      <c r="M41" s="200">
        <f t="shared" si="3"/>
        <v>0</v>
      </c>
      <c r="N41" s="200">
        <f t="shared" si="4"/>
        <v>0</v>
      </c>
      <c r="O41" s="200">
        <f t="shared" si="5"/>
        <v>0</v>
      </c>
      <c r="P41" s="217">
        <f t="shared" si="6"/>
        <v>0</v>
      </c>
    </row>
    <row r="42" spans="1:16" x14ac:dyDescent="0.2">
      <c r="A42" s="192">
        <f>IF(COUNTBLANK(B42)=1," ",COUNTA(B$14:B42))</f>
        <v>18</v>
      </c>
      <c r="B42" s="198" t="s">
        <v>65</v>
      </c>
      <c r="C42" s="199" t="s">
        <v>145</v>
      </c>
      <c r="D42" s="128" t="s">
        <v>67</v>
      </c>
      <c r="E42" s="307">
        <f>apjomi!K23</f>
        <v>527.97</v>
      </c>
      <c r="F42" s="196"/>
      <c r="G42" s="197"/>
      <c r="H42" s="200">
        <f t="shared" si="0"/>
        <v>0</v>
      </c>
      <c r="I42" s="197"/>
      <c r="J42" s="197"/>
      <c r="K42" s="217">
        <f t="shared" si="1"/>
        <v>0</v>
      </c>
      <c r="L42" s="201">
        <f t="shared" si="2"/>
        <v>0</v>
      </c>
      <c r="M42" s="200">
        <f t="shared" si="3"/>
        <v>0</v>
      </c>
      <c r="N42" s="200">
        <f t="shared" si="4"/>
        <v>0</v>
      </c>
      <c r="O42" s="200">
        <f t="shared" si="5"/>
        <v>0</v>
      </c>
      <c r="P42" s="217">
        <f t="shared" si="6"/>
        <v>0</v>
      </c>
    </row>
    <row r="43" spans="1:16" ht="22.5" x14ac:dyDescent="0.2">
      <c r="A43" s="192">
        <f>IF(COUNTBLANK(B43)=1," ",COUNTA(B$14:B43))</f>
        <v>19</v>
      </c>
      <c r="B43" s="198" t="s">
        <v>65</v>
      </c>
      <c r="C43" s="199" t="s">
        <v>146</v>
      </c>
      <c r="D43" s="128" t="s">
        <v>67</v>
      </c>
      <c r="E43" s="195">
        <f>apjomi!O23</f>
        <v>402.48599999999993</v>
      </c>
      <c r="F43" s="196"/>
      <c r="G43" s="197"/>
      <c r="H43" s="200">
        <f t="shared" si="0"/>
        <v>0</v>
      </c>
      <c r="I43" s="197"/>
      <c r="J43" s="197"/>
      <c r="K43" s="217">
        <f t="shared" si="1"/>
        <v>0</v>
      </c>
      <c r="L43" s="201">
        <f t="shared" si="2"/>
        <v>0</v>
      </c>
      <c r="M43" s="200">
        <f t="shared" si="3"/>
        <v>0</v>
      </c>
      <c r="N43" s="200">
        <f t="shared" si="4"/>
        <v>0</v>
      </c>
      <c r="O43" s="200">
        <f t="shared" si="5"/>
        <v>0</v>
      </c>
      <c r="P43" s="217">
        <f t="shared" si="6"/>
        <v>0</v>
      </c>
    </row>
    <row r="44" spans="1:16" x14ac:dyDescent="0.2">
      <c r="A44" s="192">
        <f>IF(COUNTBLANK(B44)=1," ",COUNTA(B$14:B44))</f>
        <v>20</v>
      </c>
      <c r="B44" s="198" t="s">
        <v>65</v>
      </c>
      <c r="C44" s="199" t="s">
        <v>147</v>
      </c>
      <c r="D44" s="128" t="s">
        <v>67</v>
      </c>
      <c r="E44" s="195">
        <f>apjomi!N23</f>
        <v>92.815000000000012</v>
      </c>
      <c r="F44" s="196"/>
      <c r="G44" s="197"/>
      <c r="H44" s="200">
        <f t="shared" si="0"/>
        <v>0</v>
      </c>
      <c r="I44" s="197"/>
      <c r="J44" s="197"/>
      <c r="K44" s="217">
        <f t="shared" si="1"/>
        <v>0</v>
      </c>
      <c r="L44" s="201">
        <f t="shared" si="2"/>
        <v>0</v>
      </c>
      <c r="M44" s="200">
        <f t="shared" si="3"/>
        <v>0</v>
      </c>
      <c r="N44" s="200">
        <f t="shared" si="4"/>
        <v>0</v>
      </c>
      <c r="O44" s="200">
        <f t="shared" si="5"/>
        <v>0</v>
      </c>
      <c r="P44" s="217">
        <f t="shared" si="6"/>
        <v>0</v>
      </c>
    </row>
    <row r="45" spans="1:16" ht="22.5" x14ac:dyDescent="0.2">
      <c r="A45" s="192">
        <f>IF(COUNTBLANK(B45)=1," ",COUNTA(B$14:B45))</f>
        <v>21</v>
      </c>
      <c r="B45" s="198" t="s">
        <v>65</v>
      </c>
      <c r="C45" s="199" t="s">
        <v>148</v>
      </c>
      <c r="D45" s="128" t="s">
        <v>73</v>
      </c>
      <c r="E45" s="195">
        <f>apjomi!M23</f>
        <v>148.58100000000002</v>
      </c>
      <c r="F45" s="196"/>
      <c r="G45" s="197"/>
      <c r="H45" s="200">
        <f t="shared" si="0"/>
        <v>0</v>
      </c>
      <c r="I45" s="197"/>
      <c r="J45" s="197"/>
      <c r="K45" s="217">
        <f t="shared" si="1"/>
        <v>0</v>
      </c>
      <c r="L45" s="201">
        <f t="shared" si="2"/>
        <v>0</v>
      </c>
      <c r="M45" s="200">
        <f t="shared" si="3"/>
        <v>0</v>
      </c>
      <c r="N45" s="200">
        <f t="shared" si="4"/>
        <v>0</v>
      </c>
      <c r="O45" s="200">
        <f t="shared" si="5"/>
        <v>0</v>
      </c>
      <c r="P45" s="217">
        <f t="shared" si="6"/>
        <v>0</v>
      </c>
    </row>
    <row r="46" spans="1:16" x14ac:dyDescent="0.2">
      <c r="A46" s="192" t="str">
        <f>IF(COUNTBLANK(B46)=1," ",COUNTA(B$14:B46))</f>
        <v xml:space="preserve"> </v>
      </c>
      <c r="B46" s="198"/>
      <c r="C46" s="199" t="s">
        <v>149</v>
      </c>
      <c r="D46" s="128" t="s">
        <v>67</v>
      </c>
      <c r="E46" s="206">
        <f>E51</f>
        <v>527.97</v>
      </c>
      <c r="F46" s="196"/>
      <c r="G46" s="197"/>
      <c r="H46" s="200">
        <f t="shared" si="0"/>
        <v>0</v>
      </c>
      <c r="I46" s="197"/>
      <c r="J46" s="197"/>
      <c r="K46" s="217">
        <f t="shared" si="1"/>
        <v>0</v>
      </c>
      <c r="L46" s="201">
        <f t="shared" si="2"/>
        <v>0</v>
      </c>
      <c r="M46" s="200">
        <f t="shared" si="3"/>
        <v>0</v>
      </c>
      <c r="N46" s="200">
        <f t="shared" si="4"/>
        <v>0</v>
      </c>
      <c r="O46" s="200">
        <f t="shared" si="5"/>
        <v>0</v>
      </c>
      <c r="P46" s="217">
        <f t="shared" si="6"/>
        <v>0</v>
      </c>
    </row>
    <row r="47" spans="1:16" x14ac:dyDescent="0.2">
      <c r="A47" s="192" t="str">
        <f>IF(COUNTBLANK(B47)=1," ",COUNTA(B$14:B47))</f>
        <v xml:space="preserve"> </v>
      </c>
      <c r="B47" s="198"/>
      <c r="C47" s="199" t="s">
        <v>150</v>
      </c>
      <c r="D47" s="128" t="s">
        <v>73</v>
      </c>
      <c r="E47" s="206">
        <f>E45*1.1</f>
        <v>163.43910000000002</v>
      </c>
      <c r="F47" s="196"/>
      <c r="G47" s="197"/>
      <c r="H47" s="200">
        <f t="shared" si="0"/>
        <v>0</v>
      </c>
      <c r="I47" s="197"/>
      <c r="J47" s="197"/>
      <c r="K47" s="217">
        <f t="shared" si="1"/>
        <v>0</v>
      </c>
      <c r="L47" s="201">
        <f t="shared" si="2"/>
        <v>0</v>
      </c>
      <c r="M47" s="200">
        <f t="shared" si="3"/>
        <v>0</v>
      </c>
      <c r="N47" s="200">
        <f t="shared" si="4"/>
        <v>0</v>
      </c>
      <c r="O47" s="200">
        <f t="shared" si="5"/>
        <v>0</v>
      </c>
      <c r="P47" s="217">
        <f t="shared" si="6"/>
        <v>0</v>
      </c>
    </row>
    <row r="48" spans="1:16" x14ac:dyDescent="0.2">
      <c r="A48" s="192" t="str">
        <f>IF(COUNTBLANK(B48)=1," ",COUNTA(B$14:B48))</f>
        <v xml:space="preserve"> </v>
      </c>
      <c r="B48" s="198"/>
      <c r="C48" s="199" t="s">
        <v>151</v>
      </c>
      <c r="D48" s="128" t="s">
        <v>83</v>
      </c>
      <c r="E48" s="206">
        <f>E45*1.05</f>
        <v>156.01005000000004</v>
      </c>
      <c r="F48" s="196"/>
      <c r="G48" s="197"/>
      <c r="H48" s="200">
        <f t="shared" si="0"/>
        <v>0</v>
      </c>
      <c r="I48" s="197"/>
      <c r="J48" s="197"/>
      <c r="K48" s="217">
        <f t="shared" si="1"/>
        <v>0</v>
      </c>
      <c r="L48" s="201">
        <f t="shared" si="2"/>
        <v>0</v>
      </c>
      <c r="M48" s="200">
        <f t="shared" si="3"/>
        <v>0</v>
      </c>
      <c r="N48" s="200">
        <f t="shared" si="4"/>
        <v>0</v>
      </c>
      <c r="O48" s="200">
        <f t="shared" si="5"/>
        <v>0</v>
      </c>
      <c r="P48" s="217">
        <f t="shared" si="6"/>
        <v>0</v>
      </c>
    </row>
    <row r="49" spans="1:16" x14ac:dyDescent="0.2">
      <c r="A49" s="192" t="str">
        <f>IF(COUNTBLANK(B49)=1," ",COUNTA(B$14:B49))</f>
        <v xml:space="preserve"> </v>
      </c>
      <c r="B49" s="198"/>
      <c r="C49" s="199" t="s">
        <v>152</v>
      </c>
      <c r="D49" s="128" t="s">
        <v>83</v>
      </c>
      <c r="E49" s="206">
        <f>E45*3.5</f>
        <v>520.0335</v>
      </c>
      <c r="F49" s="196"/>
      <c r="G49" s="197"/>
      <c r="H49" s="200">
        <f t="shared" si="0"/>
        <v>0</v>
      </c>
      <c r="I49" s="197"/>
      <c r="J49" s="197"/>
      <c r="K49" s="217">
        <f t="shared" si="1"/>
        <v>0</v>
      </c>
      <c r="L49" s="201">
        <f t="shared" si="2"/>
        <v>0</v>
      </c>
      <c r="M49" s="200">
        <f t="shared" si="3"/>
        <v>0</v>
      </c>
      <c r="N49" s="200">
        <f t="shared" si="4"/>
        <v>0</v>
      </c>
      <c r="O49" s="200">
        <f t="shared" si="5"/>
        <v>0</v>
      </c>
      <c r="P49" s="217">
        <f t="shared" si="6"/>
        <v>0</v>
      </c>
    </row>
    <row r="50" spans="1:16" x14ac:dyDescent="0.2">
      <c r="A50" s="192" t="str">
        <f>IF(COUNTBLANK(B50)=1," ",COUNTA(B$14:B50))</f>
        <v xml:space="preserve"> </v>
      </c>
      <c r="B50" s="198"/>
      <c r="C50" s="199" t="s">
        <v>153</v>
      </c>
      <c r="D50" s="128" t="s">
        <v>83</v>
      </c>
      <c r="E50" s="206">
        <f>E45*0.3</f>
        <v>44.574300000000001</v>
      </c>
      <c r="F50" s="196"/>
      <c r="G50" s="197"/>
      <c r="H50" s="200">
        <f t="shared" si="0"/>
        <v>0</v>
      </c>
      <c r="I50" s="197"/>
      <c r="J50" s="197"/>
      <c r="K50" s="217">
        <f t="shared" si="1"/>
        <v>0</v>
      </c>
      <c r="L50" s="201">
        <f t="shared" si="2"/>
        <v>0</v>
      </c>
      <c r="M50" s="200">
        <f t="shared" si="3"/>
        <v>0</v>
      </c>
      <c r="N50" s="200">
        <f t="shared" si="4"/>
        <v>0</v>
      </c>
      <c r="O50" s="200">
        <f t="shared" si="5"/>
        <v>0</v>
      </c>
      <c r="P50" s="217">
        <f t="shared" si="6"/>
        <v>0</v>
      </c>
    </row>
    <row r="51" spans="1:16" ht="12" thickBot="1" x14ac:dyDescent="0.25">
      <c r="A51" s="192" t="str">
        <f>IF(COUNTBLANK(B51)=1," ",COUNTA(B$14:B51))</f>
        <v xml:space="preserve"> </v>
      </c>
      <c r="B51" s="198"/>
      <c r="C51" s="199" t="s">
        <v>154</v>
      </c>
      <c r="D51" s="128" t="s">
        <v>70</v>
      </c>
      <c r="E51" s="206">
        <f>E42</f>
        <v>527.97</v>
      </c>
      <c r="F51" s="196"/>
      <c r="G51" s="197"/>
      <c r="H51" s="200">
        <f t="shared" si="0"/>
        <v>0</v>
      </c>
      <c r="I51" s="197"/>
      <c r="J51" s="197"/>
      <c r="K51" s="217">
        <f t="shared" si="1"/>
        <v>0</v>
      </c>
      <c r="L51" s="284">
        <f t="shared" si="2"/>
        <v>0</v>
      </c>
      <c r="M51" s="285">
        <f t="shared" si="3"/>
        <v>0</v>
      </c>
      <c r="N51" s="285">
        <f t="shared" si="4"/>
        <v>0</v>
      </c>
      <c r="O51" s="285">
        <f t="shared" si="5"/>
        <v>0</v>
      </c>
      <c r="P51" s="286">
        <f t="shared" si="6"/>
        <v>0</v>
      </c>
    </row>
    <row r="52" spans="1:16" ht="12" thickBot="1" x14ac:dyDescent="0.25">
      <c r="A52" s="382" t="s">
        <v>514</v>
      </c>
      <c r="B52" s="383"/>
      <c r="C52" s="383"/>
      <c r="D52" s="383"/>
      <c r="E52" s="383"/>
      <c r="F52" s="383"/>
      <c r="G52" s="383"/>
      <c r="H52" s="383"/>
      <c r="I52" s="383"/>
      <c r="J52" s="383"/>
      <c r="K52" s="384"/>
      <c r="L52" s="219">
        <f>SUM(L14:L51)</f>
        <v>0</v>
      </c>
      <c r="M52" s="220">
        <f>SUM(M14:M51)</f>
        <v>0</v>
      </c>
      <c r="N52" s="220">
        <f>SUM(N14:N51)</f>
        <v>0</v>
      </c>
      <c r="O52" s="220">
        <f>SUM(O14:O51)</f>
        <v>0</v>
      </c>
      <c r="P52" s="221">
        <f>SUM(P14:P51)</f>
        <v>0</v>
      </c>
    </row>
    <row r="53" spans="1:16" x14ac:dyDescent="0.2">
      <c r="A53" s="18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</row>
    <row r="54" spans="1:16" x14ac:dyDescent="0.2">
      <c r="A54" s="182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</row>
    <row r="55" spans="1:16" x14ac:dyDescent="0.2">
      <c r="A55" s="179" t="s">
        <v>14</v>
      </c>
      <c r="B55" s="182"/>
      <c r="C55" s="380">
        <f>'Kops a'!C32:H32</f>
        <v>0</v>
      </c>
      <c r="D55" s="380"/>
      <c r="E55" s="380"/>
      <c r="F55" s="380"/>
      <c r="G55" s="380"/>
      <c r="H55" s="380"/>
      <c r="I55" s="182"/>
      <c r="J55" s="182"/>
      <c r="K55" s="182"/>
      <c r="L55" s="182"/>
      <c r="M55" s="182"/>
      <c r="N55" s="182"/>
      <c r="O55" s="182"/>
      <c r="P55" s="182"/>
    </row>
    <row r="56" spans="1:16" x14ac:dyDescent="0.2">
      <c r="A56" s="182"/>
      <c r="B56" s="182"/>
      <c r="C56" s="381" t="s">
        <v>15</v>
      </c>
      <c r="D56" s="381"/>
      <c r="E56" s="381"/>
      <c r="F56" s="381"/>
      <c r="G56" s="381"/>
      <c r="H56" s="381"/>
      <c r="I56" s="182"/>
      <c r="J56" s="182"/>
      <c r="K56" s="182"/>
      <c r="L56" s="182"/>
      <c r="M56" s="182"/>
      <c r="N56" s="182"/>
      <c r="O56" s="182"/>
      <c r="P56" s="182"/>
    </row>
    <row r="57" spans="1:16" x14ac:dyDescent="0.2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</row>
    <row r="58" spans="1:16" x14ac:dyDescent="0.2">
      <c r="A58" s="208" t="str">
        <f>'Kops a'!A35</f>
        <v>Tāme sastādīta 2021. gada</v>
      </c>
      <c r="B58" s="209"/>
      <c r="C58" s="209"/>
      <c r="D58" s="209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</row>
    <row r="59" spans="1:16" x14ac:dyDescent="0.2">
      <c r="A59" s="182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</row>
    <row r="60" spans="1:16" x14ac:dyDescent="0.2">
      <c r="A60" s="179" t="s">
        <v>37</v>
      </c>
      <c r="B60" s="182"/>
      <c r="C60" s="380">
        <f>'Kops a'!C37:H37</f>
        <v>0</v>
      </c>
      <c r="D60" s="380"/>
      <c r="E60" s="380"/>
      <c r="F60" s="380"/>
      <c r="G60" s="380"/>
      <c r="H60" s="380"/>
      <c r="I60" s="182"/>
      <c r="J60" s="182"/>
      <c r="K60" s="182"/>
      <c r="L60" s="182"/>
      <c r="M60" s="182"/>
      <c r="N60" s="182"/>
      <c r="O60" s="182"/>
      <c r="P60" s="182"/>
    </row>
    <row r="61" spans="1:16" x14ac:dyDescent="0.2">
      <c r="A61" s="182"/>
      <c r="B61" s="182"/>
      <c r="C61" s="381" t="s">
        <v>15</v>
      </c>
      <c r="D61" s="381"/>
      <c r="E61" s="381"/>
      <c r="F61" s="381"/>
      <c r="G61" s="381"/>
      <c r="H61" s="381"/>
      <c r="I61" s="182"/>
      <c r="J61" s="182"/>
      <c r="K61" s="182"/>
      <c r="L61" s="182"/>
      <c r="M61" s="182"/>
      <c r="N61" s="182"/>
      <c r="O61" s="182"/>
      <c r="P61" s="182"/>
    </row>
    <row r="62" spans="1:16" x14ac:dyDescent="0.2">
      <c r="A62" s="182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</row>
    <row r="63" spans="1:16" x14ac:dyDescent="0.2">
      <c r="A63" s="208" t="s">
        <v>54</v>
      </c>
      <c r="B63" s="209"/>
      <c r="C63" s="210">
        <f>'Kops a'!C40</f>
        <v>0</v>
      </c>
      <c r="D63" s="211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</row>
    <row r="64" spans="1:16" x14ac:dyDescent="0.2">
      <c r="A64" s="182"/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</row>
    <row r="65" spans="1:15" x14ac:dyDescent="0.2">
      <c r="A65" s="179" t="s">
        <v>316</v>
      </c>
      <c r="B65" s="182"/>
      <c r="E65" s="176"/>
      <c r="F65" s="277"/>
      <c r="G65" s="176"/>
      <c r="H65" s="278"/>
      <c r="I65" s="278"/>
      <c r="J65" s="279"/>
      <c r="K65" s="280"/>
      <c r="L65" s="280"/>
      <c r="M65" s="280"/>
      <c r="N65" s="280"/>
      <c r="O65" s="280"/>
    </row>
    <row r="66" spans="1:15" x14ac:dyDescent="0.2">
      <c r="A66" s="402" t="s">
        <v>317</v>
      </c>
      <c r="B66" s="402"/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  <c r="N66" s="402"/>
      <c r="O66" s="402"/>
    </row>
    <row r="67" spans="1:15" x14ac:dyDescent="0.2">
      <c r="A67" s="402" t="s">
        <v>318</v>
      </c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</row>
  </sheetData>
  <mergeCells count="24">
    <mergeCell ref="C61:H61"/>
    <mergeCell ref="D8:L8"/>
    <mergeCell ref="A52:K52"/>
    <mergeCell ref="A67:O67"/>
    <mergeCell ref="N9:O9"/>
    <mergeCell ref="A12:A13"/>
    <mergeCell ref="B12:B13"/>
    <mergeCell ref="C12:C13"/>
    <mergeCell ref="D12:D13"/>
    <mergeCell ref="E12:E13"/>
    <mergeCell ref="L12:P12"/>
    <mergeCell ref="C55:H55"/>
    <mergeCell ref="C56:H56"/>
    <mergeCell ref="A66:O66"/>
    <mergeCell ref="F12:K12"/>
    <mergeCell ref="A9:F9"/>
    <mergeCell ref="J9:M9"/>
    <mergeCell ref="C60:H60"/>
    <mergeCell ref="C2:I2"/>
    <mergeCell ref="C3:I3"/>
    <mergeCell ref="D5:L5"/>
    <mergeCell ref="D6:L6"/>
    <mergeCell ref="D7:L7"/>
    <mergeCell ref="C4:I4"/>
  </mergeCells>
  <conditionalFormatting sqref="A14:G14 B46:D51 F46:G51 I14:J51 A15:A51 B15:G45">
    <cfRule type="cellIs" dxfId="141" priority="23" operator="equal">
      <formula>0</formula>
    </cfRule>
  </conditionalFormatting>
  <conditionalFormatting sqref="N9:O9 H14:H51 K14:P51">
    <cfRule type="cellIs" dxfId="140" priority="22" operator="equal">
      <formula>0</formula>
    </cfRule>
  </conditionalFormatting>
  <conditionalFormatting sqref="A9:F9">
    <cfRule type="containsText" dxfId="139" priority="2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8" priority="19" operator="equal">
      <formula>0</formula>
    </cfRule>
  </conditionalFormatting>
  <conditionalFormatting sqref="O10">
    <cfRule type="cellIs" dxfId="137" priority="18" operator="equal">
      <formula>"20__. gada __. _________"</formula>
    </cfRule>
  </conditionalFormatting>
  <conditionalFormatting sqref="A52:K52">
    <cfRule type="containsText" dxfId="136" priority="17" operator="containsText" text="Tiešās izmaksas kopā, t. sk. darba devēja sociālais nodoklis __.__% ">
      <formula>NOT(ISERROR(SEARCH("Tiešās izmaksas kopā, t. sk. darba devēja sociālais nodoklis __.__% ",A52)))</formula>
    </cfRule>
  </conditionalFormatting>
  <conditionalFormatting sqref="L52:P52">
    <cfRule type="cellIs" dxfId="135" priority="12" operator="equal">
      <formula>0</formula>
    </cfRule>
  </conditionalFormatting>
  <conditionalFormatting sqref="C4:I4">
    <cfRule type="cellIs" dxfId="134" priority="11" operator="equal">
      <formula>0</formula>
    </cfRule>
  </conditionalFormatting>
  <conditionalFormatting sqref="D5:L8">
    <cfRule type="cellIs" dxfId="133" priority="9" operator="equal">
      <formula>0</formula>
    </cfRule>
  </conditionalFormatting>
  <conditionalFormatting sqref="P10">
    <cfRule type="cellIs" dxfId="132" priority="8" operator="equal">
      <formula>"20__. gada __. _________"</formula>
    </cfRule>
  </conditionalFormatting>
  <conditionalFormatting sqref="C60:H60">
    <cfRule type="cellIs" dxfId="131" priority="5" operator="equal">
      <formula>0</formula>
    </cfRule>
  </conditionalFormatting>
  <conditionalFormatting sqref="C55:H55">
    <cfRule type="cellIs" dxfId="130" priority="4" operator="equal">
      <formula>0</formula>
    </cfRule>
  </conditionalFormatting>
  <conditionalFormatting sqref="C60:H60 C63 C55:H55">
    <cfRule type="cellIs" dxfId="129" priority="3" operator="equal">
      <formula>0</formula>
    </cfRule>
  </conditionalFormatting>
  <conditionalFormatting sqref="D1">
    <cfRule type="cellIs" dxfId="128" priority="2" operator="equal">
      <formula>0</formula>
    </cfRule>
  </conditionalFormatting>
  <conditionalFormatting sqref="E46:E51">
    <cfRule type="cellIs" dxfId="12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7" fitToHeight="0" orientation="landscape" r:id="rId1"/>
  <rowBreaks count="1" manualBreakCount="1">
    <brk id="27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46B16A03-C867-4231-9EE2-FA19DDA4D492}">
            <xm:f>NOT(ISERROR(SEARCH("Tāme sastādīta ____. gada ___. ______________",A58)))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A58</xm:sqref>
        </x14:conditionalFormatting>
        <x14:conditionalFormatting xmlns:xm="http://schemas.microsoft.com/office/excel/2006/main">
          <x14:cfRule type="containsText" priority="6" operator="containsText" id="{2AF3CC58-04F0-4432-AA0F-D3D058C3CAD1}">
            <xm:f>NOT(ISERROR(SEARCH("Sertifikāta Nr. _________________________________",A63)))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>
    <pageSetUpPr fitToPage="1"/>
  </sheetPr>
  <dimension ref="A1:P61"/>
  <sheetViews>
    <sheetView view="pageBreakPreview" topLeftCell="A28" zoomScaleNormal="100" zoomScaleSheetLayoutView="100" zoomScalePageLayoutView="85" workbookViewId="0">
      <selection activeCell="A47" sqref="A47"/>
    </sheetView>
  </sheetViews>
  <sheetFormatPr defaultColWidth="9.140625" defaultRowHeight="11.25" x14ac:dyDescent="0.2"/>
  <cols>
    <col min="1" max="1" width="4.5703125" style="179" customWidth="1"/>
    <col min="2" max="2" width="5.28515625" style="179" customWidth="1"/>
    <col min="3" max="3" width="38.42578125" style="179" customWidth="1"/>
    <col min="4" max="4" width="5.85546875" style="179" customWidth="1"/>
    <col min="5" max="5" width="8.7109375" style="179" customWidth="1"/>
    <col min="6" max="6" width="5.42578125" style="179" customWidth="1"/>
    <col min="7" max="7" width="4.85546875" style="179" customWidth="1"/>
    <col min="8" max="10" width="6.7109375" style="179" customWidth="1"/>
    <col min="11" max="11" width="7" style="179" customWidth="1"/>
    <col min="12" max="15" width="7.7109375" style="179" customWidth="1"/>
    <col min="16" max="16" width="9" style="179" customWidth="1"/>
    <col min="17" max="16384" width="9.140625" style="179"/>
  </cols>
  <sheetData>
    <row r="1" spans="1:16" x14ac:dyDescent="0.2">
      <c r="A1" s="176"/>
      <c r="B1" s="176"/>
      <c r="C1" s="177" t="s">
        <v>38</v>
      </c>
      <c r="D1" s="178">
        <f>'Kops a'!A17</f>
        <v>3</v>
      </c>
      <c r="E1" s="176"/>
      <c r="F1" s="176"/>
      <c r="G1" s="176"/>
      <c r="H1" s="176"/>
      <c r="I1" s="176"/>
      <c r="J1" s="176"/>
      <c r="N1" s="180"/>
      <c r="O1" s="177"/>
      <c r="P1" s="181"/>
    </row>
    <row r="2" spans="1:16" x14ac:dyDescent="0.2">
      <c r="A2" s="176"/>
      <c r="B2" s="176"/>
      <c r="C2" s="386" t="s">
        <v>155</v>
      </c>
      <c r="D2" s="386"/>
      <c r="E2" s="386"/>
      <c r="F2" s="386"/>
      <c r="G2" s="386"/>
      <c r="H2" s="386"/>
      <c r="I2" s="386"/>
      <c r="J2" s="176"/>
    </row>
    <row r="3" spans="1:16" x14ac:dyDescent="0.2">
      <c r="A3" s="212"/>
      <c r="B3" s="212"/>
      <c r="C3" s="387" t="s">
        <v>17</v>
      </c>
      <c r="D3" s="387"/>
      <c r="E3" s="387"/>
      <c r="F3" s="387"/>
      <c r="G3" s="387"/>
      <c r="H3" s="387"/>
      <c r="I3" s="387"/>
      <c r="J3" s="212"/>
    </row>
    <row r="4" spans="1:16" x14ac:dyDescent="0.2">
      <c r="A4" s="212"/>
      <c r="B4" s="212"/>
      <c r="C4" s="388" t="s">
        <v>52</v>
      </c>
      <c r="D4" s="388"/>
      <c r="E4" s="388"/>
      <c r="F4" s="388"/>
      <c r="G4" s="388"/>
      <c r="H4" s="388"/>
      <c r="I4" s="388"/>
      <c r="J4" s="212"/>
    </row>
    <row r="5" spans="1:16" x14ac:dyDescent="0.2">
      <c r="A5" s="176"/>
      <c r="B5" s="176"/>
      <c r="C5" s="177" t="s">
        <v>5</v>
      </c>
      <c r="D5" s="377" t="str">
        <f>'Kops a'!D6</f>
        <v>Daudzdzīvokļu dzīvojamā ēka</v>
      </c>
      <c r="E5" s="377"/>
      <c r="F5" s="377"/>
      <c r="G5" s="377"/>
      <c r="H5" s="377"/>
      <c r="I5" s="377"/>
      <c r="J5" s="377"/>
      <c r="K5" s="377"/>
      <c r="L5" s="377"/>
      <c r="M5" s="182"/>
      <c r="N5" s="182"/>
      <c r="O5" s="182"/>
      <c r="P5" s="182"/>
    </row>
    <row r="6" spans="1:16" x14ac:dyDescent="0.2">
      <c r="A6" s="176"/>
      <c r="B6" s="176"/>
      <c r="C6" s="177" t="s">
        <v>6</v>
      </c>
      <c r="D6" s="377" t="str">
        <f>'Kops a'!D7</f>
        <v>Daudzdzīvokļu dzīvojamās ēkas energoefektivitātes paaugstināšanas pasākumi</v>
      </c>
      <c r="E6" s="377"/>
      <c r="F6" s="377"/>
      <c r="G6" s="377"/>
      <c r="H6" s="377"/>
      <c r="I6" s="377"/>
      <c r="J6" s="377"/>
      <c r="K6" s="377"/>
      <c r="L6" s="377"/>
      <c r="M6" s="182"/>
      <c r="N6" s="182"/>
      <c r="O6" s="182"/>
      <c r="P6" s="182"/>
    </row>
    <row r="7" spans="1:16" x14ac:dyDescent="0.2">
      <c r="A7" s="176"/>
      <c r="B7" s="176"/>
      <c r="C7" s="177" t="s">
        <v>7</v>
      </c>
      <c r="D7" s="377" t="str">
        <f>'Kops a'!D8</f>
        <v>Rojas iela 2, Liepāja</v>
      </c>
      <c r="E7" s="377"/>
      <c r="F7" s="377"/>
      <c r="G7" s="377"/>
      <c r="H7" s="377"/>
      <c r="I7" s="377"/>
      <c r="J7" s="377"/>
      <c r="K7" s="377"/>
      <c r="L7" s="377"/>
      <c r="M7" s="182"/>
      <c r="N7" s="182"/>
      <c r="O7" s="182"/>
      <c r="P7" s="182"/>
    </row>
    <row r="8" spans="1:16" x14ac:dyDescent="0.2">
      <c r="A8" s="176"/>
      <c r="B8" s="176"/>
      <c r="C8" s="183" t="s">
        <v>20</v>
      </c>
      <c r="D8" s="377" t="str">
        <f>'Kops a'!D9</f>
        <v>WS-54-15</v>
      </c>
      <c r="E8" s="377"/>
      <c r="F8" s="377"/>
      <c r="G8" s="377"/>
      <c r="H8" s="377"/>
      <c r="I8" s="377"/>
      <c r="J8" s="377"/>
      <c r="K8" s="377"/>
      <c r="L8" s="377"/>
      <c r="M8" s="182"/>
      <c r="N8" s="182"/>
      <c r="O8" s="182"/>
      <c r="P8" s="182"/>
    </row>
    <row r="9" spans="1:16" ht="11.25" customHeight="1" x14ac:dyDescent="0.2">
      <c r="A9" s="389" t="s">
        <v>513</v>
      </c>
      <c r="B9" s="389"/>
      <c r="C9" s="389"/>
      <c r="D9" s="389"/>
      <c r="E9" s="389"/>
      <c r="F9" s="389"/>
      <c r="G9" s="184"/>
      <c r="H9" s="184"/>
      <c r="I9" s="184"/>
      <c r="J9" s="393" t="s">
        <v>39</v>
      </c>
      <c r="K9" s="393"/>
      <c r="L9" s="393"/>
      <c r="M9" s="393"/>
      <c r="N9" s="401">
        <f>P46</f>
        <v>0</v>
      </c>
      <c r="O9" s="401"/>
      <c r="P9" s="184"/>
    </row>
    <row r="10" spans="1:16" x14ac:dyDescent="0.2">
      <c r="A10" s="185"/>
      <c r="B10" s="186"/>
      <c r="C10" s="183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O10" s="229"/>
      <c r="P10" s="188" t="str">
        <f>A52</f>
        <v>Tāme sastādīta 2021. gada</v>
      </c>
    </row>
    <row r="11" spans="1:16" ht="12" thickBot="1" x14ac:dyDescent="0.25">
      <c r="A11" s="185"/>
      <c r="B11" s="186"/>
      <c r="C11" s="183"/>
      <c r="D11" s="176"/>
      <c r="E11" s="176"/>
      <c r="F11" s="176"/>
      <c r="G11" s="176"/>
      <c r="H11" s="176"/>
      <c r="I11" s="176"/>
      <c r="J11" s="176"/>
      <c r="K11" s="176"/>
      <c r="L11" s="177"/>
      <c r="M11" s="177"/>
      <c r="N11" s="189"/>
      <c r="O11" s="180"/>
      <c r="P11" s="176"/>
    </row>
    <row r="12" spans="1:16" x14ac:dyDescent="0.2">
      <c r="A12" s="394" t="s">
        <v>23</v>
      </c>
      <c r="B12" s="396" t="s">
        <v>40</v>
      </c>
      <c r="C12" s="391" t="s">
        <v>41</v>
      </c>
      <c r="D12" s="399" t="s">
        <v>42</v>
      </c>
      <c r="E12" s="378" t="s">
        <v>43</v>
      </c>
      <c r="F12" s="390" t="s">
        <v>44</v>
      </c>
      <c r="G12" s="391"/>
      <c r="H12" s="391"/>
      <c r="I12" s="391"/>
      <c r="J12" s="391"/>
      <c r="K12" s="392"/>
      <c r="L12" s="390" t="s">
        <v>45</v>
      </c>
      <c r="M12" s="391"/>
      <c r="N12" s="391"/>
      <c r="O12" s="391"/>
      <c r="P12" s="392"/>
    </row>
    <row r="13" spans="1:16" ht="111.95" customHeight="1" thickBot="1" x14ac:dyDescent="0.25">
      <c r="A13" s="395"/>
      <c r="B13" s="397"/>
      <c r="C13" s="398"/>
      <c r="D13" s="400"/>
      <c r="E13" s="379"/>
      <c r="F13" s="190" t="s">
        <v>46</v>
      </c>
      <c r="G13" s="191" t="s">
        <v>47</v>
      </c>
      <c r="H13" s="191" t="s">
        <v>48</v>
      </c>
      <c r="I13" s="191" t="s">
        <v>49</v>
      </c>
      <c r="J13" s="191" t="s">
        <v>50</v>
      </c>
      <c r="K13" s="213" t="s">
        <v>51</v>
      </c>
      <c r="L13" s="190" t="s">
        <v>46</v>
      </c>
      <c r="M13" s="191" t="s">
        <v>48</v>
      </c>
      <c r="N13" s="191" t="s">
        <v>49</v>
      </c>
      <c r="O13" s="191" t="s">
        <v>50</v>
      </c>
      <c r="P13" s="213" t="s">
        <v>51</v>
      </c>
    </row>
    <row r="14" spans="1:16" ht="22.5" x14ac:dyDescent="0.2">
      <c r="A14" s="248">
        <f>IF(COUNTBLANK(B14)=1," ",COUNTA(B$14:B14))</f>
        <v>1</v>
      </c>
      <c r="B14" s="249" t="s">
        <v>65</v>
      </c>
      <c r="C14" s="250" t="s">
        <v>156</v>
      </c>
      <c r="D14" s="251" t="s">
        <v>157</v>
      </c>
      <c r="E14" s="252">
        <f>123.1*1.3*1</f>
        <v>160.03</v>
      </c>
      <c r="F14" s="253"/>
      <c r="G14" s="254"/>
      <c r="H14" s="254">
        <f>ROUND(F14*G14,2)</f>
        <v>0</v>
      </c>
      <c r="I14" s="254"/>
      <c r="J14" s="254"/>
      <c r="K14" s="255">
        <f>SUM(H14:J14)</f>
        <v>0</v>
      </c>
      <c r="L14" s="253">
        <f>ROUND(E14*F14,2)</f>
        <v>0</v>
      </c>
      <c r="M14" s="254">
        <f>ROUND(H14*E14,2)</f>
        <v>0</v>
      </c>
      <c r="N14" s="254">
        <f>ROUND(I14*E14,2)</f>
        <v>0</v>
      </c>
      <c r="O14" s="254">
        <f>ROUND(J14*E14,2)</f>
        <v>0</v>
      </c>
      <c r="P14" s="255">
        <f>SUM(M14:O14)</f>
        <v>0</v>
      </c>
    </row>
    <row r="15" spans="1:16" x14ac:dyDescent="0.2">
      <c r="A15" s="192">
        <f>IF(COUNTBLANK(B15)=1," ",COUNTA(B$14:B15))</f>
        <v>2</v>
      </c>
      <c r="B15" s="193" t="s">
        <v>65</v>
      </c>
      <c r="C15" s="194" t="s">
        <v>370</v>
      </c>
      <c r="D15" s="214" t="s">
        <v>73</v>
      </c>
      <c r="E15" s="195">
        <f>215</f>
        <v>215</v>
      </c>
      <c r="F15" s="196"/>
      <c r="G15" s="197"/>
      <c r="H15" s="197"/>
      <c r="I15" s="197"/>
      <c r="J15" s="197"/>
      <c r="K15" s="215"/>
      <c r="L15" s="196"/>
      <c r="M15" s="197"/>
      <c r="N15" s="197"/>
      <c r="O15" s="197"/>
      <c r="P15" s="215"/>
    </row>
    <row r="16" spans="1:16" ht="22.5" x14ac:dyDescent="0.2">
      <c r="A16" s="192">
        <f>IF(COUNTBLANK(B16)=1," ",COUNTA(B$14:B16))</f>
        <v>3</v>
      </c>
      <c r="B16" s="198" t="s">
        <v>65</v>
      </c>
      <c r="C16" s="199" t="s">
        <v>371</v>
      </c>
      <c r="D16" s="128" t="s">
        <v>73</v>
      </c>
      <c r="E16" s="195">
        <f>E15</f>
        <v>215</v>
      </c>
      <c r="F16" s="196"/>
      <c r="G16" s="197"/>
      <c r="H16" s="200">
        <f t="shared" ref="H16:H31" si="0">ROUND(F16*G16,2)</f>
        <v>0</v>
      </c>
      <c r="I16" s="197"/>
      <c r="J16" s="197"/>
      <c r="K16" s="217">
        <f t="shared" ref="K16:K31" si="1">SUM(H16:J16)</f>
        <v>0</v>
      </c>
      <c r="L16" s="201">
        <f t="shared" ref="L16:L33" si="2">ROUND(E16*F16,2)</f>
        <v>0</v>
      </c>
      <c r="M16" s="200">
        <f t="shared" ref="M16:M31" si="3">ROUND(H16*E16,2)</f>
        <v>0</v>
      </c>
      <c r="N16" s="200">
        <f t="shared" ref="N16:N33" si="4">ROUND(I16*E16,2)</f>
        <v>0</v>
      </c>
      <c r="O16" s="200">
        <f t="shared" ref="O16:O33" si="5">ROUND(J16*E16,2)</f>
        <v>0</v>
      </c>
      <c r="P16" s="217">
        <f t="shared" ref="P16:P31" si="6">SUM(M16:O16)</f>
        <v>0</v>
      </c>
    </row>
    <row r="17" spans="1:16" ht="22.5" x14ac:dyDescent="0.2">
      <c r="A17" s="192" t="str">
        <f>IF(COUNTBLANK(B17)=1," ",COUNTA(B$14:B17))</f>
        <v xml:space="preserve"> </v>
      </c>
      <c r="B17" s="198"/>
      <c r="C17" s="199" t="s">
        <v>473</v>
      </c>
      <c r="D17" s="128" t="s">
        <v>83</v>
      </c>
      <c r="E17" s="195">
        <f>E15*0.5</f>
        <v>107.5</v>
      </c>
      <c r="F17" s="196"/>
      <c r="G17" s="197"/>
      <c r="H17" s="200">
        <f t="shared" si="0"/>
        <v>0</v>
      </c>
      <c r="I17" s="197"/>
      <c r="J17" s="197"/>
      <c r="K17" s="217">
        <f t="shared" si="1"/>
        <v>0</v>
      </c>
      <c r="L17" s="201">
        <f t="shared" si="2"/>
        <v>0</v>
      </c>
      <c r="M17" s="200">
        <f t="shared" si="3"/>
        <v>0</v>
      </c>
      <c r="N17" s="200">
        <f t="shared" si="4"/>
        <v>0</v>
      </c>
      <c r="O17" s="200">
        <f t="shared" si="5"/>
        <v>0</v>
      </c>
      <c r="P17" s="217">
        <f t="shared" si="6"/>
        <v>0</v>
      </c>
    </row>
    <row r="18" spans="1:16" ht="22.5" x14ac:dyDescent="0.2">
      <c r="A18" s="192">
        <f>IF(COUNTBLANK(B18)=1," ",COUNTA(B$14:B18))</f>
        <v>4</v>
      </c>
      <c r="B18" s="198" t="s">
        <v>65</v>
      </c>
      <c r="C18" s="199" t="s">
        <v>158</v>
      </c>
      <c r="D18" s="128" t="s">
        <v>73</v>
      </c>
      <c r="E18" s="195">
        <f>E15</f>
        <v>215</v>
      </c>
      <c r="F18" s="196"/>
      <c r="G18" s="197"/>
      <c r="H18" s="200">
        <f t="shared" si="0"/>
        <v>0</v>
      </c>
      <c r="I18" s="197"/>
      <c r="J18" s="197"/>
      <c r="K18" s="217">
        <f t="shared" si="1"/>
        <v>0</v>
      </c>
      <c r="L18" s="201">
        <f t="shared" si="2"/>
        <v>0</v>
      </c>
      <c r="M18" s="200">
        <f t="shared" si="3"/>
        <v>0</v>
      </c>
      <c r="N18" s="200">
        <f t="shared" si="4"/>
        <v>0</v>
      </c>
      <c r="O18" s="200">
        <f t="shared" si="5"/>
        <v>0</v>
      </c>
      <c r="P18" s="217">
        <f t="shared" si="6"/>
        <v>0</v>
      </c>
    </row>
    <row r="19" spans="1:16" x14ac:dyDescent="0.2">
      <c r="A19" s="192" t="str">
        <f>IF(COUNTBLANK(B19)=1," ",COUNTA(B$14:B19))</f>
        <v xml:space="preserve"> </v>
      </c>
      <c r="B19" s="198"/>
      <c r="C19" s="199" t="s">
        <v>474</v>
      </c>
      <c r="D19" s="128" t="s">
        <v>83</v>
      </c>
      <c r="E19" s="195">
        <f>E18*1</f>
        <v>215</v>
      </c>
      <c r="F19" s="196"/>
      <c r="G19" s="197"/>
      <c r="H19" s="200">
        <f t="shared" si="0"/>
        <v>0</v>
      </c>
      <c r="I19" s="197"/>
      <c r="J19" s="197"/>
      <c r="K19" s="217">
        <f t="shared" si="1"/>
        <v>0</v>
      </c>
      <c r="L19" s="201">
        <f t="shared" si="2"/>
        <v>0</v>
      </c>
      <c r="M19" s="200">
        <f t="shared" si="3"/>
        <v>0</v>
      </c>
      <c r="N19" s="200">
        <f t="shared" si="4"/>
        <v>0</v>
      </c>
      <c r="O19" s="200">
        <f t="shared" si="5"/>
        <v>0</v>
      </c>
      <c r="P19" s="217">
        <f t="shared" si="6"/>
        <v>0</v>
      </c>
    </row>
    <row r="20" spans="1:16" ht="67.5" x14ac:dyDescent="0.2">
      <c r="A20" s="192">
        <f>IF(COUNTBLANK(B20)=1," ",COUNTA(B$14:B20))</f>
        <v>5</v>
      </c>
      <c r="B20" s="198" t="s">
        <v>159</v>
      </c>
      <c r="C20" s="199" t="s">
        <v>160</v>
      </c>
      <c r="D20" s="128" t="s">
        <v>73</v>
      </c>
      <c r="E20" s="195">
        <v>215</v>
      </c>
      <c r="F20" s="196"/>
      <c r="G20" s="197"/>
      <c r="H20" s="200">
        <f t="shared" si="0"/>
        <v>0</v>
      </c>
      <c r="I20" s="197"/>
      <c r="J20" s="197"/>
      <c r="K20" s="217">
        <f t="shared" si="1"/>
        <v>0</v>
      </c>
      <c r="L20" s="201">
        <f t="shared" si="2"/>
        <v>0</v>
      </c>
      <c r="M20" s="200">
        <f t="shared" si="3"/>
        <v>0</v>
      </c>
      <c r="N20" s="200">
        <f t="shared" si="4"/>
        <v>0</v>
      </c>
      <c r="O20" s="200">
        <f t="shared" si="5"/>
        <v>0</v>
      </c>
      <c r="P20" s="217">
        <f t="shared" si="6"/>
        <v>0</v>
      </c>
    </row>
    <row r="21" spans="1:16" x14ac:dyDescent="0.2">
      <c r="A21" s="192" t="str">
        <f>IF(COUNTBLANK(B21)=1," ",COUNTA(B$14:B21))</f>
        <v xml:space="preserve"> </v>
      </c>
      <c r="B21" s="198"/>
      <c r="C21" s="199" t="s">
        <v>161</v>
      </c>
      <c r="D21" s="128" t="s">
        <v>73</v>
      </c>
      <c r="E21" s="195">
        <f>E20*1.1</f>
        <v>236.50000000000003</v>
      </c>
      <c r="F21" s="196"/>
      <c r="G21" s="197"/>
      <c r="H21" s="200">
        <f t="shared" si="0"/>
        <v>0</v>
      </c>
      <c r="I21" s="197"/>
      <c r="J21" s="197"/>
      <c r="K21" s="217">
        <f t="shared" si="1"/>
        <v>0</v>
      </c>
      <c r="L21" s="201">
        <f t="shared" si="2"/>
        <v>0</v>
      </c>
      <c r="M21" s="200">
        <f t="shared" si="3"/>
        <v>0</v>
      </c>
      <c r="N21" s="200">
        <f t="shared" si="4"/>
        <v>0</v>
      </c>
      <c r="O21" s="200">
        <f t="shared" si="5"/>
        <v>0</v>
      </c>
      <c r="P21" s="217">
        <f t="shared" si="6"/>
        <v>0</v>
      </c>
    </row>
    <row r="22" spans="1:16" x14ac:dyDescent="0.2">
      <c r="A22" s="192" t="str">
        <f>IF(COUNTBLANK(B22)=1," ",COUNTA(B$14:B22))</f>
        <v xml:space="preserve"> </v>
      </c>
      <c r="B22" s="198"/>
      <c r="C22" s="199" t="s">
        <v>84</v>
      </c>
      <c r="D22" s="128" t="s">
        <v>83</v>
      </c>
      <c r="E22" s="195">
        <f>E20*5</f>
        <v>1075</v>
      </c>
      <c r="F22" s="196"/>
      <c r="G22" s="197"/>
      <c r="H22" s="200">
        <f t="shared" si="0"/>
        <v>0</v>
      </c>
      <c r="I22" s="197"/>
      <c r="J22" s="197"/>
      <c r="K22" s="217">
        <f t="shared" si="1"/>
        <v>0</v>
      </c>
      <c r="L22" s="201">
        <f t="shared" si="2"/>
        <v>0</v>
      </c>
      <c r="M22" s="200">
        <f t="shared" si="3"/>
        <v>0</v>
      </c>
      <c r="N22" s="200">
        <f t="shared" si="4"/>
        <v>0</v>
      </c>
      <c r="O22" s="200">
        <f t="shared" si="5"/>
        <v>0</v>
      </c>
      <c r="P22" s="217">
        <f t="shared" si="6"/>
        <v>0</v>
      </c>
    </row>
    <row r="23" spans="1:16" x14ac:dyDescent="0.2">
      <c r="A23" s="192" t="str">
        <f>IF(COUNTBLANK(B23)=1," ",COUNTA(B$14:B23))</f>
        <v xml:space="preserve"> </v>
      </c>
      <c r="B23" s="198"/>
      <c r="C23" s="199" t="s">
        <v>475</v>
      </c>
      <c r="D23" s="128" t="s">
        <v>70</v>
      </c>
      <c r="E23" s="195">
        <f>E20*6</f>
        <v>1290</v>
      </c>
      <c r="F23" s="196"/>
      <c r="G23" s="197"/>
      <c r="H23" s="200">
        <f t="shared" si="0"/>
        <v>0</v>
      </c>
      <c r="I23" s="197"/>
      <c r="J23" s="197"/>
      <c r="K23" s="217">
        <f t="shared" si="1"/>
        <v>0</v>
      </c>
      <c r="L23" s="201">
        <f t="shared" si="2"/>
        <v>0</v>
      </c>
      <c r="M23" s="200">
        <f t="shared" si="3"/>
        <v>0</v>
      </c>
      <c r="N23" s="200">
        <f t="shared" si="4"/>
        <v>0</v>
      </c>
      <c r="O23" s="200">
        <f t="shared" si="5"/>
        <v>0</v>
      </c>
      <c r="P23" s="217">
        <f t="shared" si="6"/>
        <v>0</v>
      </c>
    </row>
    <row r="24" spans="1:16" ht="22.5" x14ac:dyDescent="0.2">
      <c r="A24" s="192">
        <f>IF(COUNTBLANK(B24)=1," ",COUNTA(B$14:B24))</f>
        <v>6</v>
      </c>
      <c r="B24" s="198" t="s">
        <v>65</v>
      </c>
      <c r="C24" s="199" t="s">
        <v>162</v>
      </c>
      <c r="D24" s="128" t="s">
        <v>73</v>
      </c>
      <c r="E24" s="195">
        <v>103</v>
      </c>
      <c r="F24" s="196"/>
      <c r="G24" s="197"/>
      <c r="H24" s="200">
        <f t="shared" si="0"/>
        <v>0</v>
      </c>
      <c r="I24" s="197"/>
      <c r="J24" s="197"/>
      <c r="K24" s="217">
        <f t="shared" si="1"/>
        <v>0</v>
      </c>
      <c r="L24" s="201">
        <f t="shared" si="2"/>
        <v>0</v>
      </c>
      <c r="M24" s="200">
        <f t="shared" si="3"/>
        <v>0</v>
      </c>
      <c r="N24" s="200">
        <f t="shared" si="4"/>
        <v>0</v>
      </c>
      <c r="O24" s="200">
        <f t="shared" si="5"/>
        <v>0</v>
      </c>
      <c r="P24" s="217">
        <f t="shared" si="6"/>
        <v>0</v>
      </c>
    </row>
    <row r="25" spans="1:16" x14ac:dyDescent="0.2">
      <c r="A25" s="192" t="str">
        <f>IF(COUNTBLANK(B25)=1," ",COUNTA(B$14:B25))</f>
        <v xml:space="preserve"> </v>
      </c>
      <c r="B25" s="198"/>
      <c r="C25" s="199" t="s">
        <v>476</v>
      </c>
      <c r="D25" s="128" t="s">
        <v>83</v>
      </c>
      <c r="E25" s="195">
        <f>E24*10</f>
        <v>1030</v>
      </c>
      <c r="F25" s="196"/>
      <c r="G25" s="197"/>
      <c r="H25" s="200">
        <f t="shared" si="0"/>
        <v>0</v>
      </c>
      <c r="I25" s="197"/>
      <c r="J25" s="197"/>
      <c r="K25" s="217">
        <f t="shared" si="1"/>
        <v>0</v>
      </c>
      <c r="L25" s="201">
        <f t="shared" si="2"/>
        <v>0</v>
      </c>
      <c r="M25" s="200">
        <f t="shared" si="3"/>
        <v>0</v>
      </c>
      <c r="N25" s="200">
        <f t="shared" si="4"/>
        <v>0</v>
      </c>
      <c r="O25" s="200">
        <f t="shared" si="5"/>
        <v>0</v>
      </c>
      <c r="P25" s="217">
        <f t="shared" si="6"/>
        <v>0</v>
      </c>
    </row>
    <row r="26" spans="1:16" x14ac:dyDescent="0.2">
      <c r="A26" s="192" t="str">
        <f>IF(COUNTBLANK(B26)=1," ",COUNTA(B$14:B26))</f>
        <v xml:space="preserve"> </v>
      </c>
      <c r="B26" s="198"/>
      <c r="C26" s="199" t="s">
        <v>373</v>
      </c>
      <c r="D26" s="128" t="s">
        <v>73</v>
      </c>
      <c r="E26" s="195">
        <f>E24*2.2</f>
        <v>226.60000000000002</v>
      </c>
      <c r="F26" s="196"/>
      <c r="G26" s="197"/>
      <c r="H26" s="200">
        <f t="shared" si="0"/>
        <v>0</v>
      </c>
      <c r="I26" s="197"/>
      <c r="J26" s="197"/>
      <c r="K26" s="217">
        <f t="shared" si="1"/>
        <v>0</v>
      </c>
      <c r="L26" s="201">
        <f t="shared" si="2"/>
        <v>0</v>
      </c>
      <c r="M26" s="200">
        <f t="shared" si="3"/>
        <v>0</v>
      </c>
      <c r="N26" s="200">
        <f t="shared" si="4"/>
        <v>0</v>
      </c>
      <c r="O26" s="200">
        <f t="shared" si="5"/>
        <v>0</v>
      </c>
      <c r="P26" s="217">
        <f t="shared" si="6"/>
        <v>0</v>
      </c>
    </row>
    <row r="27" spans="1:16" x14ac:dyDescent="0.2">
      <c r="A27" s="192" t="str">
        <f>IF(COUNTBLANK(B27)=1," ",COUNTA(B$14:B27))</f>
        <v xml:space="preserve"> </v>
      </c>
      <c r="B27" s="198"/>
      <c r="C27" s="199" t="s">
        <v>163</v>
      </c>
      <c r="D27" s="128" t="s">
        <v>372</v>
      </c>
      <c r="E27" s="195">
        <f>E24*0.1</f>
        <v>10.3</v>
      </c>
      <c r="F27" s="196"/>
      <c r="G27" s="197"/>
      <c r="H27" s="200">
        <f t="shared" si="0"/>
        <v>0</v>
      </c>
      <c r="I27" s="197"/>
      <c r="J27" s="197"/>
      <c r="K27" s="217">
        <f t="shared" si="1"/>
        <v>0</v>
      </c>
      <c r="L27" s="201">
        <f t="shared" si="2"/>
        <v>0</v>
      </c>
      <c r="M27" s="200">
        <f t="shared" si="3"/>
        <v>0</v>
      </c>
      <c r="N27" s="200">
        <f t="shared" si="4"/>
        <v>0</v>
      </c>
      <c r="O27" s="200">
        <f t="shared" si="5"/>
        <v>0</v>
      </c>
      <c r="P27" s="217">
        <f t="shared" si="6"/>
        <v>0</v>
      </c>
    </row>
    <row r="28" spans="1:16" x14ac:dyDescent="0.2">
      <c r="A28" s="192" t="str">
        <f>IF(COUNTBLANK(B28)=1," ",COUNTA(B$14:B28))</f>
        <v xml:space="preserve"> </v>
      </c>
      <c r="B28" s="198"/>
      <c r="C28" s="199" t="s">
        <v>82</v>
      </c>
      <c r="D28" s="128" t="s">
        <v>83</v>
      </c>
      <c r="E28" s="195">
        <f>E24*0.3</f>
        <v>30.9</v>
      </c>
      <c r="F28" s="196"/>
      <c r="G28" s="197"/>
      <c r="H28" s="200">
        <f t="shared" si="0"/>
        <v>0</v>
      </c>
      <c r="I28" s="197"/>
      <c r="J28" s="197"/>
      <c r="K28" s="217">
        <f t="shared" si="1"/>
        <v>0</v>
      </c>
      <c r="L28" s="201">
        <f t="shared" si="2"/>
        <v>0</v>
      </c>
      <c r="M28" s="200">
        <f t="shared" si="3"/>
        <v>0</v>
      </c>
      <c r="N28" s="200">
        <f t="shared" si="4"/>
        <v>0</v>
      </c>
      <c r="O28" s="200">
        <f t="shared" si="5"/>
        <v>0</v>
      </c>
      <c r="P28" s="217">
        <f t="shared" si="6"/>
        <v>0</v>
      </c>
    </row>
    <row r="29" spans="1:16" x14ac:dyDescent="0.2">
      <c r="A29" s="192" t="str">
        <f>IF(COUNTBLANK(B29)=1," ",COUNTA(B$14:B29))</f>
        <v xml:space="preserve"> </v>
      </c>
      <c r="B29" s="198"/>
      <c r="C29" s="199" t="s">
        <v>374</v>
      </c>
      <c r="D29" s="128" t="s">
        <v>83</v>
      </c>
      <c r="E29" s="195">
        <f>E24*5</f>
        <v>515</v>
      </c>
      <c r="F29" s="196"/>
      <c r="G29" s="197"/>
      <c r="H29" s="200">
        <f t="shared" si="0"/>
        <v>0</v>
      </c>
      <c r="I29" s="197"/>
      <c r="J29" s="197"/>
      <c r="K29" s="217">
        <f t="shared" si="1"/>
        <v>0</v>
      </c>
      <c r="L29" s="201">
        <f t="shared" si="2"/>
        <v>0</v>
      </c>
      <c r="M29" s="200">
        <f t="shared" si="3"/>
        <v>0</v>
      </c>
      <c r="N29" s="200">
        <f t="shared" si="4"/>
        <v>0</v>
      </c>
      <c r="O29" s="200">
        <f t="shared" si="5"/>
        <v>0</v>
      </c>
      <c r="P29" s="217">
        <f t="shared" si="6"/>
        <v>0</v>
      </c>
    </row>
    <row r="30" spans="1:16" x14ac:dyDescent="0.2">
      <c r="A30" s="192">
        <f>IF(COUNTBLANK(B30)=1," ",COUNTA(B$14:B30))</f>
        <v>7</v>
      </c>
      <c r="B30" s="198" t="s">
        <v>65</v>
      </c>
      <c r="C30" s="199" t="s">
        <v>166</v>
      </c>
      <c r="D30" s="128" t="s">
        <v>67</v>
      </c>
      <c r="E30" s="195">
        <v>24.8</v>
      </c>
      <c r="F30" s="196"/>
      <c r="G30" s="197"/>
      <c r="H30" s="200">
        <f t="shared" si="0"/>
        <v>0</v>
      </c>
      <c r="I30" s="197"/>
      <c r="J30" s="197"/>
      <c r="K30" s="217">
        <f t="shared" si="1"/>
        <v>0</v>
      </c>
      <c r="L30" s="201">
        <f t="shared" si="2"/>
        <v>0</v>
      </c>
      <c r="M30" s="200">
        <f t="shared" si="3"/>
        <v>0</v>
      </c>
      <c r="N30" s="200">
        <f t="shared" si="4"/>
        <v>0</v>
      </c>
      <c r="O30" s="200">
        <f t="shared" si="5"/>
        <v>0</v>
      </c>
      <c r="P30" s="217">
        <f t="shared" si="6"/>
        <v>0</v>
      </c>
    </row>
    <row r="31" spans="1:16" x14ac:dyDescent="0.2">
      <c r="A31" s="192">
        <f>IF(COUNTBLANK(B31)=1," ",COUNTA(B$14:B31))</f>
        <v>8</v>
      </c>
      <c r="B31" s="198" t="s">
        <v>65</v>
      </c>
      <c r="C31" s="199" t="s">
        <v>167</v>
      </c>
      <c r="D31" s="128" t="s">
        <v>157</v>
      </c>
      <c r="E31" s="195">
        <f>E14-(E33*0.26)</f>
        <v>141.12799999999999</v>
      </c>
      <c r="F31" s="196"/>
      <c r="G31" s="197"/>
      <c r="H31" s="200">
        <f t="shared" si="0"/>
        <v>0</v>
      </c>
      <c r="I31" s="197"/>
      <c r="J31" s="197"/>
      <c r="K31" s="217">
        <f t="shared" si="1"/>
        <v>0</v>
      </c>
      <c r="L31" s="201">
        <f t="shared" si="2"/>
        <v>0</v>
      </c>
      <c r="M31" s="200">
        <f t="shared" si="3"/>
        <v>0</v>
      </c>
      <c r="N31" s="200">
        <f t="shared" si="4"/>
        <v>0</v>
      </c>
      <c r="O31" s="200">
        <f t="shared" si="5"/>
        <v>0</v>
      </c>
      <c r="P31" s="217">
        <f t="shared" si="6"/>
        <v>0</v>
      </c>
    </row>
    <row r="32" spans="1:16" ht="33.75" x14ac:dyDescent="0.2">
      <c r="A32" s="192">
        <f>IF(COUNTBLANK(B32)=1," ",COUNTA(B$14:B32))</f>
        <v>9</v>
      </c>
      <c r="B32" s="203" t="s">
        <v>65</v>
      </c>
      <c r="C32" s="199" t="s">
        <v>319</v>
      </c>
      <c r="D32" s="128" t="s">
        <v>126</v>
      </c>
      <c r="E32" s="230">
        <v>20</v>
      </c>
      <c r="F32" s="231"/>
      <c r="G32" s="231"/>
      <c r="H32" s="231"/>
      <c r="I32" s="231"/>
      <c r="J32" s="231"/>
      <c r="K32" s="243"/>
      <c r="L32" s="232">
        <f t="shared" si="2"/>
        <v>0</v>
      </c>
      <c r="M32" s="233"/>
      <c r="N32" s="233">
        <f t="shared" si="4"/>
        <v>0</v>
      </c>
      <c r="O32" s="233">
        <f t="shared" si="5"/>
        <v>0</v>
      </c>
      <c r="P32" s="243"/>
    </row>
    <row r="33" spans="1:16" x14ac:dyDescent="0.2">
      <c r="A33" s="192" t="str">
        <f>IF(COUNTBLANK(B33)=1," ",COUNTA(B$14:B33))</f>
        <v xml:space="preserve"> </v>
      </c>
      <c r="B33" s="203"/>
      <c r="C33" s="235" t="s">
        <v>375</v>
      </c>
      <c r="D33" s="234" t="s">
        <v>73</v>
      </c>
      <c r="E33" s="128">
        <v>72.7</v>
      </c>
      <c r="F33" s="200"/>
      <c r="G33" s="200"/>
      <c r="H33" s="200"/>
      <c r="I33" s="200"/>
      <c r="J33" s="200"/>
      <c r="K33" s="217"/>
      <c r="L33" s="201">
        <f t="shared" si="2"/>
        <v>0</v>
      </c>
      <c r="M33" s="200"/>
      <c r="N33" s="200">
        <f t="shared" si="4"/>
        <v>0</v>
      </c>
      <c r="O33" s="200">
        <f t="shared" si="5"/>
        <v>0</v>
      </c>
      <c r="P33" s="217"/>
    </row>
    <row r="34" spans="1:16" x14ac:dyDescent="0.2">
      <c r="A34" s="192">
        <f>IF(COUNTBLANK(B34)=1," ",COUNTA(B$14:B34))</f>
        <v>10</v>
      </c>
      <c r="B34" s="203" t="s">
        <v>65</v>
      </c>
      <c r="C34" s="235" t="s">
        <v>376</v>
      </c>
      <c r="D34" s="234" t="s">
        <v>157</v>
      </c>
      <c r="E34" s="128">
        <f>E33*0.06</f>
        <v>4.3620000000000001</v>
      </c>
      <c r="F34" s="200"/>
      <c r="G34" s="200"/>
      <c r="H34" s="200"/>
      <c r="I34" s="200"/>
      <c r="J34" s="200"/>
      <c r="K34" s="217"/>
      <c r="L34" s="201"/>
      <c r="M34" s="200"/>
      <c r="N34" s="200"/>
      <c r="O34" s="200"/>
      <c r="P34" s="217"/>
    </row>
    <row r="35" spans="1:16" x14ac:dyDescent="0.2">
      <c r="A35" s="192">
        <f>IF(COUNTBLANK(B35)=1," ",COUNTA(B$14:B35))</f>
        <v>11</v>
      </c>
      <c r="B35" s="203" t="s">
        <v>65</v>
      </c>
      <c r="C35" s="235" t="s">
        <v>377</v>
      </c>
      <c r="D35" s="234" t="s">
        <v>157</v>
      </c>
      <c r="E35" s="128">
        <f>E33*0.05*1.1</f>
        <v>3.9985000000000004</v>
      </c>
      <c r="F35" s="200"/>
      <c r="G35" s="200"/>
      <c r="H35" s="200"/>
      <c r="I35" s="200"/>
      <c r="J35" s="200"/>
      <c r="K35" s="217"/>
      <c r="L35" s="201"/>
      <c r="M35" s="200"/>
      <c r="N35" s="200"/>
      <c r="O35" s="200"/>
      <c r="P35" s="217"/>
    </row>
    <row r="36" spans="1:16" x14ac:dyDescent="0.2">
      <c r="A36" s="192">
        <f>IF(COUNTBLANK(B36)=1," ",COUNTA(B$14:B36))</f>
        <v>12</v>
      </c>
      <c r="B36" s="203" t="s">
        <v>65</v>
      </c>
      <c r="C36" s="235" t="s">
        <v>378</v>
      </c>
      <c r="D36" s="234" t="s">
        <v>157</v>
      </c>
      <c r="E36" s="128">
        <f>E33*0.05*1.1</f>
        <v>3.9985000000000004</v>
      </c>
      <c r="F36" s="200"/>
      <c r="G36" s="200"/>
      <c r="H36" s="200"/>
      <c r="I36" s="200"/>
      <c r="J36" s="200"/>
      <c r="K36" s="217"/>
      <c r="L36" s="201"/>
      <c r="M36" s="200"/>
      <c r="N36" s="200"/>
      <c r="O36" s="200"/>
      <c r="P36" s="217"/>
    </row>
    <row r="37" spans="1:16" x14ac:dyDescent="0.2">
      <c r="A37" s="192">
        <f>IF(COUNTBLANK(B37)=1," ",COUNTA(B$14:B37))</f>
        <v>13</v>
      </c>
      <c r="B37" s="203" t="s">
        <v>65</v>
      </c>
      <c r="C37" s="235" t="s">
        <v>379</v>
      </c>
      <c r="D37" s="234" t="s">
        <v>157</v>
      </c>
      <c r="E37" s="128">
        <f>E33*0.1*1.1</f>
        <v>7.9970000000000008</v>
      </c>
      <c r="F37" s="200"/>
      <c r="G37" s="200"/>
      <c r="H37" s="200"/>
      <c r="I37" s="200"/>
      <c r="J37" s="200"/>
      <c r="K37" s="217"/>
      <c r="L37" s="201"/>
      <c r="M37" s="200"/>
      <c r="N37" s="200"/>
      <c r="O37" s="200"/>
      <c r="P37" s="217"/>
    </row>
    <row r="38" spans="1:16" x14ac:dyDescent="0.2">
      <c r="A38" s="192">
        <f>IF(COUNTBLANK(B38)=1," ",COUNTA(B$14:B38))</f>
        <v>14</v>
      </c>
      <c r="B38" s="203" t="s">
        <v>65</v>
      </c>
      <c r="C38" s="235" t="s">
        <v>380</v>
      </c>
      <c r="D38" s="234" t="s">
        <v>73</v>
      </c>
      <c r="E38" s="128">
        <f>E33*1.15</f>
        <v>83.60499999999999</v>
      </c>
      <c r="F38" s="200"/>
      <c r="G38" s="200"/>
      <c r="H38" s="200"/>
      <c r="I38" s="200"/>
      <c r="J38" s="200"/>
      <c r="K38" s="217"/>
      <c r="L38" s="201"/>
      <c r="M38" s="200"/>
      <c r="N38" s="200"/>
      <c r="O38" s="200"/>
      <c r="P38" s="217"/>
    </row>
    <row r="39" spans="1:16" x14ac:dyDescent="0.2">
      <c r="A39" s="192">
        <f>IF(COUNTBLANK(B39)=1," ",COUNTA(B$14:B39))</f>
        <v>15</v>
      </c>
      <c r="B39" s="236" t="s">
        <v>65</v>
      </c>
      <c r="C39" s="237" t="s">
        <v>383</v>
      </c>
      <c r="D39" s="238" t="s">
        <v>67</v>
      </c>
      <c r="E39" s="239">
        <v>114.7</v>
      </c>
      <c r="F39" s="200"/>
      <c r="G39" s="200"/>
      <c r="H39" s="200"/>
      <c r="I39" s="200"/>
      <c r="J39" s="200"/>
      <c r="K39" s="217"/>
      <c r="L39" s="201"/>
      <c r="M39" s="200"/>
      <c r="N39" s="200"/>
      <c r="O39" s="200"/>
      <c r="P39" s="217"/>
    </row>
    <row r="40" spans="1:16" x14ac:dyDescent="0.2">
      <c r="A40" s="192" t="str">
        <f>IF(COUNTBLANK(B40)=1," ",COUNTA(B$14:B40))</f>
        <v xml:space="preserve"> </v>
      </c>
      <c r="B40" s="236"/>
      <c r="C40" s="237" t="s">
        <v>381</v>
      </c>
      <c r="D40" s="238" t="s">
        <v>126</v>
      </c>
      <c r="E40" s="239">
        <f>ROUNDUP(E39*1.1,0)</f>
        <v>127</v>
      </c>
      <c r="F40" s="200"/>
      <c r="G40" s="200"/>
      <c r="H40" s="200"/>
      <c r="I40" s="200"/>
      <c r="J40" s="200"/>
      <c r="K40" s="217"/>
      <c r="L40" s="201"/>
      <c r="M40" s="200"/>
      <c r="N40" s="200"/>
      <c r="O40" s="200"/>
      <c r="P40" s="217"/>
    </row>
    <row r="41" spans="1:16" x14ac:dyDescent="0.2">
      <c r="A41" s="192" t="str">
        <f>IF(COUNTBLANK(B41)=1," ",COUNTA(B$14:B41))</f>
        <v xml:space="preserve"> </v>
      </c>
      <c r="B41" s="236"/>
      <c r="C41" s="237" t="s">
        <v>382</v>
      </c>
      <c r="D41" s="240" t="s">
        <v>157</v>
      </c>
      <c r="E41" s="239">
        <f>E39*0.05</f>
        <v>5.7350000000000003</v>
      </c>
      <c r="F41" s="200"/>
      <c r="G41" s="200"/>
      <c r="H41" s="200"/>
      <c r="I41" s="200"/>
      <c r="J41" s="200"/>
      <c r="K41" s="217"/>
      <c r="L41" s="201"/>
      <c r="M41" s="200"/>
      <c r="N41" s="200"/>
      <c r="O41" s="200"/>
      <c r="P41" s="217"/>
    </row>
    <row r="42" spans="1:16" x14ac:dyDescent="0.2">
      <c r="A42" s="192">
        <f>IF(COUNTBLANK(B42)=1," ",COUNTA(B$14:B42))</f>
        <v>16</v>
      </c>
      <c r="B42" s="236" t="s">
        <v>65</v>
      </c>
      <c r="C42" s="235" t="s">
        <v>384</v>
      </c>
      <c r="D42" s="234" t="s">
        <v>372</v>
      </c>
      <c r="E42" s="128">
        <v>8</v>
      </c>
      <c r="F42" s="200"/>
      <c r="G42" s="200"/>
      <c r="H42" s="200"/>
      <c r="I42" s="200"/>
      <c r="J42" s="200"/>
      <c r="K42" s="217"/>
      <c r="L42" s="201"/>
      <c r="M42" s="200"/>
      <c r="N42" s="200"/>
      <c r="O42" s="200"/>
      <c r="P42" s="217"/>
    </row>
    <row r="43" spans="1:16" ht="22.5" x14ac:dyDescent="0.2">
      <c r="A43" s="192">
        <f>IF(COUNTBLANK(B43)=1," ",COUNTA(B$14:B43))</f>
        <v>17</v>
      </c>
      <c r="B43" s="204" t="s">
        <v>65</v>
      </c>
      <c r="C43" s="237" t="s">
        <v>385</v>
      </c>
      <c r="D43" s="207" t="s">
        <v>73</v>
      </c>
      <c r="E43" s="239">
        <f>155.45*0.375</f>
        <v>58.293749999999996</v>
      </c>
      <c r="F43" s="200"/>
      <c r="G43" s="200"/>
      <c r="H43" s="200"/>
      <c r="I43" s="200"/>
      <c r="J43" s="200"/>
      <c r="K43" s="217"/>
      <c r="L43" s="201"/>
      <c r="M43" s="200"/>
      <c r="N43" s="200"/>
      <c r="O43" s="200"/>
      <c r="P43" s="217"/>
    </row>
    <row r="44" spans="1:16" x14ac:dyDescent="0.2">
      <c r="A44" s="192" t="str">
        <f>IF(COUNTBLANK(B44)=1," ",COUNTA(B$14:B44))</f>
        <v xml:space="preserve"> </v>
      </c>
      <c r="B44" s="203"/>
      <c r="C44" s="237" t="s">
        <v>477</v>
      </c>
      <c r="D44" s="207" t="s">
        <v>83</v>
      </c>
      <c r="E44" s="206">
        <f>E43*5</f>
        <v>291.46875</v>
      </c>
      <c r="F44" s="200"/>
      <c r="G44" s="200"/>
      <c r="H44" s="200"/>
      <c r="I44" s="200"/>
      <c r="J44" s="200"/>
      <c r="K44" s="217"/>
      <c r="L44" s="201"/>
      <c r="M44" s="200"/>
      <c r="N44" s="200"/>
      <c r="O44" s="200"/>
      <c r="P44" s="217"/>
    </row>
    <row r="45" spans="1:16" ht="12" thickBot="1" x14ac:dyDescent="0.25">
      <c r="A45" s="192">
        <f>IF(COUNTBLANK(B45)=1," ",COUNTA(B$14:B45))</f>
        <v>18</v>
      </c>
      <c r="B45" s="204" t="s">
        <v>65</v>
      </c>
      <c r="C45" s="241" t="s">
        <v>386</v>
      </c>
      <c r="D45" s="242" t="s">
        <v>73</v>
      </c>
      <c r="E45" s="206">
        <f>5*4</f>
        <v>20</v>
      </c>
      <c r="F45" s="200"/>
      <c r="G45" s="200"/>
      <c r="H45" s="200"/>
      <c r="I45" s="200"/>
      <c r="J45" s="200"/>
      <c r="K45" s="217"/>
      <c r="L45" s="284"/>
      <c r="M45" s="285"/>
      <c r="N45" s="285"/>
      <c r="O45" s="285"/>
      <c r="P45" s="286"/>
    </row>
    <row r="46" spans="1:16" ht="12" thickBot="1" x14ac:dyDescent="0.25">
      <c r="A46" s="403" t="s">
        <v>514</v>
      </c>
      <c r="B46" s="404"/>
      <c r="C46" s="404"/>
      <c r="D46" s="404"/>
      <c r="E46" s="404"/>
      <c r="F46" s="404"/>
      <c r="G46" s="404"/>
      <c r="H46" s="404"/>
      <c r="I46" s="404"/>
      <c r="J46" s="404"/>
      <c r="K46" s="405"/>
      <c r="L46" s="247">
        <f>SUM(L14:L33)</f>
        <v>0</v>
      </c>
      <c r="M46" s="245">
        <f>SUM(M14:M31)</f>
        <v>0</v>
      </c>
      <c r="N46" s="245">
        <f>SUM(N14:N33)</f>
        <v>0</v>
      </c>
      <c r="O46" s="245">
        <f>SUM(O14:O33)</f>
        <v>0</v>
      </c>
      <c r="P46" s="246">
        <f>SUM(P14:P31)</f>
        <v>0</v>
      </c>
    </row>
    <row r="47" spans="1:16" x14ac:dyDescent="0.2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</row>
    <row r="48" spans="1:16" x14ac:dyDescent="0.2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</row>
    <row r="49" spans="1:16" x14ac:dyDescent="0.2">
      <c r="A49" s="179" t="s">
        <v>14</v>
      </c>
      <c r="B49" s="182"/>
      <c r="C49" s="380">
        <f>'Kops a'!C32:H32</f>
        <v>0</v>
      </c>
      <c r="D49" s="380"/>
      <c r="E49" s="380"/>
      <c r="F49" s="380"/>
      <c r="G49" s="380"/>
      <c r="H49" s="380"/>
      <c r="I49" s="182"/>
      <c r="J49" s="182"/>
      <c r="K49" s="182"/>
      <c r="L49" s="182"/>
      <c r="M49" s="182"/>
      <c r="N49" s="182"/>
      <c r="O49" s="182"/>
      <c r="P49" s="182"/>
    </row>
    <row r="50" spans="1:16" x14ac:dyDescent="0.2">
      <c r="A50" s="182"/>
      <c r="B50" s="182"/>
      <c r="C50" s="381" t="s">
        <v>15</v>
      </c>
      <c r="D50" s="381"/>
      <c r="E50" s="381"/>
      <c r="F50" s="381"/>
      <c r="G50" s="381"/>
      <c r="H50" s="381"/>
      <c r="I50" s="182"/>
      <c r="J50" s="182"/>
      <c r="K50" s="182"/>
      <c r="L50" s="182"/>
      <c r="M50" s="182"/>
      <c r="N50" s="182"/>
      <c r="O50" s="182"/>
      <c r="P50" s="182"/>
    </row>
    <row r="51" spans="1:16" x14ac:dyDescent="0.2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</row>
    <row r="52" spans="1:16" x14ac:dyDescent="0.2">
      <c r="A52" s="208" t="str">
        <f>'Kops a'!A35</f>
        <v>Tāme sastādīta 2021. gada</v>
      </c>
      <c r="B52" s="209"/>
      <c r="C52" s="209"/>
      <c r="D52" s="209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</row>
    <row r="53" spans="1:16" x14ac:dyDescent="0.2">
      <c r="A53" s="18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</row>
    <row r="54" spans="1:16" x14ac:dyDescent="0.2">
      <c r="A54" s="179" t="s">
        <v>37</v>
      </c>
      <c r="B54" s="182"/>
      <c r="C54" s="380">
        <f>'Kops a'!C37:H37</f>
        <v>0</v>
      </c>
      <c r="D54" s="380"/>
      <c r="E54" s="380"/>
      <c r="F54" s="380"/>
      <c r="G54" s="380"/>
      <c r="H54" s="380"/>
      <c r="I54" s="182"/>
      <c r="J54" s="182"/>
      <c r="K54" s="182"/>
      <c r="L54" s="182"/>
      <c r="M54" s="182"/>
      <c r="N54" s="182"/>
      <c r="O54" s="182"/>
      <c r="P54" s="182"/>
    </row>
    <row r="55" spans="1:16" x14ac:dyDescent="0.2">
      <c r="A55" s="182"/>
      <c r="B55" s="182"/>
      <c r="C55" s="381" t="s">
        <v>15</v>
      </c>
      <c r="D55" s="381"/>
      <c r="E55" s="381"/>
      <c r="F55" s="381"/>
      <c r="G55" s="381"/>
      <c r="H55" s="381"/>
      <c r="I55" s="182"/>
      <c r="J55" s="182"/>
      <c r="K55" s="182"/>
      <c r="L55" s="182"/>
      <c r="M55" s="182"/>
      <c r="N55" s="182"/>
      <c r="O55" s="182"/>
      <c r="P55" s="182"/>
    </row>
    <row r="56" spans="1:16" x14ac:dyDescent="0.2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</row>
    <row r="57" spans="1:16" x14ac:dyDescent="0.2">
      <c r="A57" s="208" t="s">
        <v>54</v>
      </c>
      <c r="B57" s="209"/>
      <c r="C57" s="210">
        <f>'Kops a'!C40</f>
        <v>0</v>
      </c>
      <c r="D57" s="211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</row>
    <row r="58" spans="1:16" x14ac:dyDescent="0.2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</row>
    <row r="59" spans="1:16" ht="12" x14ac:dyDescent="0.2">
      <c r="A59" s="222" t="s">
        <v>316</v>
      </c>
      <c r="B59" s="223"/>
      <c r="C59" s="222"/>
      <c r="D59" s="222"/>
      <c r="E59" s="224"/>
      <c r="F59" s="225"/>
      <c r="G59" s="224"/>
      <c r="H59" s="226"/>
      <c r="I59" s="226"/>
      <c r="J59" s="227"/>
      <c r="K59" s="228"/>
      <c r="L59" s="228"/>
      <c r="M59" s="228"/>
      <c r="N59" s="228"/>
      <c r="O59" s="228"/>
    </row>
    <row r="60" spans="1:16" ht="12" x14ac:dyDescent="0.2">
      <c r="A60" s="385" t="s">
        <v>317</v>
      </c>
      <c r="B60" s="385"/>
      <c r="C60" s="385"/>
      <c r="D60" s="385"/>
      <c r="E60" s="385"/>
      <c r="F60" s="385"/>
      <c r="G60" s="385"/>
      <c r="H60" s="385"/>
      <c r="I60" s="385"/>
      <c r="J60" s="385"/>
      <c r="K60" s="385"/>
      <c r="L60" s="385"/>
      <c r="M60" s="385"/>
      <c r="N60" s="385"/>
      <c r="O60" s="385"/>
    </row>
    <row r="61" spans="1:16" ht="12" x14ac:dyDescent="0.2">
      <c r="A61" s="385" t="s">
        <v>318</v>
      </c>
      <c r="B61" s="385"/>
      <c r="C61" s="385"/>
      <c r="D61" s="385"/>
      <c r="E61" s="385"/>
      <c r="F61" s="385"/>
      <c r="G61" s="385"/>
      <c r="H61" s="385"/>
      <c r="I61" s="385"/>
      <c r="J61" s="385"/>
      <c r="K61" s="385"/>
      <c r="L61" s="385"/>
      <c r="M61" s="385"/>
      <c r="N61" s="385"/>
      <c r="O61" s="385"/>
    </row>
  </sheetData>
  <mergeCells count="24">
    <mergeCell ref="C55:H55"/>
    <mergeCell ref="C4:I4"/>
    <mergeCell ref="D8:L8"/>
    <mergeCell ref="A46:K46"/>
    <mergeCell ref="A60:O60"/>
    <mergeCell ref="F12:K12"/>
    <mergeCell ref="A9:F9"/>
    <mergeCell ref="J9:M9"/>
    <mergeCell ref="A61:O61"/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9:H49"/>
    <mergeCell ref="C50:H50"/>
    <mergeCell ref="C54:H54"/>
  </mergeCells>
  <conditionalFormatting sqref="F39:G41 I16:J45 B16:G38 C42:G42 F43:G45 A15:A45">
    <cfRule type="cellIs" dxfId="124" priority="29" operator="equal">
      <formula>0</formula>
    </cfRule>
  </conditionalFormatting>
  <conditionalFormatting sqref="N9:O9 H14:H45 K14:P45">
    <cfRule type="cellIs" dxfId="123" priority="28" operator="equal">
      <formula>0</formula>
    </cfRule>
  </conditionalFormatting>
  <conditionalFormatting sqref="A9:F9">
    <cfRule type="containsText" dxfId="122" priority="2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21" priority="25" operator="equal">
      <formula>0</formula>
    </cfRule>
  </conditionalFormatting>
  <conditionalFormatting sqref="O10">
    <cfRule type="cellIs" dxfId="120" priority="24" operator="equal">
      <formula>"20__. gada __. _________"</formula>
    </cfRule>
  </conditionalFormatting>
  <conditionalFormatting sqref="A46:K46">
    <cfRule type="containsText" dxfId="119" priority="23" operator="containsText" text="Tiešās izmaksas kopā, t. sk. darba devēja sociālais nodoklis __.__% ">
      <formula>NOT(ISERROR(SEARCH("Tiešās izmaksas kopā, t. sk. darba devēja sociālais nodoklis __.__% ",A46)))</formula>
    </cfRule>
  </conditionalFormatting>
  <conditionalFormatting sqref="L46:P46">
    <cfRule type="cellIs" dxfId="118" priority="18" operator="equal">
      <formula>0</formula>
    </cfRule>
  </conditionalFormatting>
  <conditionalFormatting sqref="C4:I4">
    <cfRule type="cellIs" dxfId="117" priority="17" operator="equal">
      <formula>0</formula>
    </cfRule>
  </conditionalFormatting>
  <conditionalFormatting sqref="D5:L8">
    <cfRule type="cellIs" dxfId="116" priority="14" operator="equal">
      <formula>0</formula>
    </cfRule>
  </conditionalFormatting>
  <conditionalFormatting sqref="D14:G15 A14:B14 B15">
    <cfRule type="cellIs" dxfId="115" priority="13" operator="equal">
      <formula>0</formula>
    </cfRule>
  </conditionalFormatting>
  <conditionalFormatting sqref="C14:C15">
    <cfRule type="cellIs" dxfId="114" priority="12" operator="equal">
      <formula>0</formula>
    </cfRule>
  </conditionalFormatting>
  <conditionalFormatting sqref="I14:J15">
    <cfRule type="cellIs" dxfId="113" priority="11" operator="equal">
      <formula>0</formula>
    </cfRule>
  </conditionalFormatting>
  <conditionalFormatting sqref="P10">
    <cfRule type="cellIs" dxfId="112" priority="10" operator="equal">
      <formula>"20__. gada __. _________"</formula>
    </cfRule>
  </conditionalFormatting>
  <conditionalFormatting sqref="C54:H54">
    <cfRule type="cellIs" dxfId="111" priority="7" operator="equal">
      <formula>0</formula>
    </cfRule>
  </conditionalFormatting>
  <conditionalFormatting sqref="C49:H49">
    <cfRule type="cellIs" dxfId="110" priority="6" operator="equal">
      <formula>0</formula>
    </cfRule>
  </conditionalFormatting>
  <conditionalFormatting sqref="C54:H54 C57 C49:H49">
    <cfRule type="cellIs" dxfId="109" priority="5" operator="equal">
      <formula>0</formula>
    </cfRule>
  </conditionalFormatting>
  <conditionalFormatting sqref="D1">
    <cfRule type="cellIs" dxfId="108" priority="4" operator="equal">
      <formula>0</formula>
    </cfRule>
  </conditionalFormatting>
  <conditionalFormatting sqref="C39:C41">
    <cfRule type="cellIs" dxfId="107" priority="3" operator="equal">
      <formula>0</formula>
    </cfRule>
  </conditionalFormatting>
  <conditionalFormatting sqref="D43:E45 B43:B45">
    <cfRule type="cellIs" dxfId="106" priority="2" operator="equal">
      <formula>0</formula>
    </cfRule>
  </conditionalFormatting>
  <conditionalFormatting sqref="C43:C45">
    <cfRule type="cellIs" dxfId="10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D422C369-7259-49E7-A89B-9D562DEE2E41}">
            <xm:f>NOT(ISERROR(SEARCH("Tāme sastādīta ____. gada ___. ______________",A52)))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A52</xm:sqref>
        </x14:conditionalFormatting>
        <x14:conditionalFormatting xmlns:xm="http://schemas.microsoft.com/office/excel/2006/main">
          <x14:cfRule type="containsText" priority="8" operator="containsText" id="{D859E3E6-089F-4F16-889A-98EF63E5F3AC}">
            <xm:f>NOT(ISERROR(SEARCH("Sertifikāta Nr. _________________________________",A57)))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>
    <tabColor rgb="FFFF0000"/>
    <pageSetUpPr fitToPage="1"/>
  </sheetPr>
  <dimension ref="A1:P93"/>
  <sheetViews>
    <sheetView view="pageBreakPreview" topLeftCell="A58" zoomScaleNormal="100" zoomScaleSheetLayoutView="100" zoomScalePageLayoutView="85" workbookViewId="0">
      <selection activeCell="A79" sqref="A7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a'!A18</f>
        <v>4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3"/>
      <c r="B2" s="23"/>
      <c r="C2" s="407" t="s">
        <v>205</v>
      </c>
      <c r="D2" s="407"/>
      <c r="E2" s="407"/>
      <c r="F2" s="407"/>
      <c r="G2" s="407"/>
      <c r="H2" s="407"/>
      <c r="I2" s="407"/>
      <c r="J2" s="23"/>
    </row>
    <row r="3" spans="1:16" x14ac:dyDescent="0.2">
      <c r="A3" s="172"/>
      <c r="B3" s="172"/>
      <c r="C3" s="374" t="s">
        <v>17</v>
      </c>
      <c r="D3" s="374"/>
      <c r="E3" s="374"/>
      <c r="F3" s="374"/>
      <c r="G3" s="374"/>
      <c r="H3" s="374"/>
      <c r="I3" s="374"/>
      <c r="J3" s="172"/>
    </row>
    <row r="4" spans="1:16" x14ac:dyDescent="0.2">
      <c r="A4" s="172"/>
      <c r="B4" s="172"/>
      <c r="C4" s="422" t="s">
        <v>52</v>
      </c>
      <c r="D4" s="422"/>
      <c r="E4" s="422"/>
      <c r="F4" s="422"/>
      <c r="G4" s="422"/>
      <c r="H4" s="422"/>
      <c r="I4" s="422"/>
      <c r="J4" s="172"/>
    </row>
    <row r="5" spans="1:16" x14ac:dyDescent="0.2">
      <c r="A5" s="23"/>
      <c r="B5" s="23"/>
      <c r="C5" s="27" t="s">
        <v>5</v>
      </c>
      <c r="D5" s="408" t="str">
        <f>'Kops a'!D6</f>
        <v>Daudzdzīvokļu dzīvojamā ēka</v>
      </c>
      <c r="E5" s="408"/>
      <c r="F5" s="408"/>
      <c r="G5" s="408"/>
      <c r="H5" s="408"/>
      <c r="I5" s="408"/>
      <c r="J5" s="408"/>
      <c r="K5" s="408"/>
      <c r="L5" s="408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408" t="str">
        <f>'Kops a'!D7</f>
        <v>Daudzdzīvokļu dzīvojamās ēkas energoefektivitātes paaugstināšanas pasākumi</v>
      </c>
      <c r="E6" s="408"/>
      <c r="F6" s="408"/>
      <c r="G6" s="408"/>
      <c r="H6" s="408"/>
      <c r="I6" s="408"/>
      <c r="J6" s="408"/>
      <c r="K6" s="408"/>
      <c r="L6" s="40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408" t="str">
        <f>'Kops a'!D8</f>
        <v>Rojas iela 2, Liepāja</v>
      </c>
      <c r="E7" s="408"/>
      <c r="F7" s="408"/>
      <c r="G7" s="408"/>
      <c r="H7" s="408"/>
      <c r="I7" s="408"/>
      <c r="J7" s="408"/>
      <c r="K7" s="408"/>
      <c r="L7" s="408"/>
      <c r="M7" s="17"/>
      <c r="N7" s="17"/>
      <c r="O7" s="17"/>
      <c r="P7" s="17"/>
    </row>
    <row r="8" spans="1:16" x14ac:dyDescent="0.2">
      <c r="A8" s="23"/>
      <c r="B8" s="23"/>
      <c r="C8" s="171" t="s">
        <v>20</v>
      </c>
      <c r="D8" s="408" t="str">
        <f>'Kops a'!D9</f>
        <v>WS-54-15</v>
      </c>
      <c r="E8" s="408"/>
      <c r="F8" s="408"/>
      <c r="G8" s="408"/>
      <c r="H8" s="408"/>
      <c r="I8" s="408"/>
      <c r="J8" s="408"/>
      <c r="K8" s="408"/>
      <c r="L8" s="408"/>
      <c r="M8" s="17"/>
      <c r="N8" s="17"/>
      <c r="O8" s="17"/>
      <c r="P8" s="17"/>
    </row>
    <row r="9" spans="1:16" ht="11.25" customHeight="1" x14ac:dyDescent="0.2">
      <c r="A9" s="427" t="s">
        <v>513</v>
      </c>
      <c r="B9" s="427"/>
      <c r="C9" s="427"/>
      <c r="D9" s="427"/>
      <c r="E9" s="427"/>
      <c r="F9" s="427"/>
      <c r="G9" s="31"/>
      <c r="H9" s="31"/>
      <c r="I9" s="31"/>
      <c r="J9" s="428" t="s">
        <v>39</v>
      </c>
      <c r="K9" s="428"/>
      <c r="L9" s="428"/>
      <c r="M9" s="428"/>
      <c r="N9" s="409">
        <f>P78</f>
        <v>0</v>
      </c>
      <c r="O9" s="409"/>
      <c r="P9" s="31"/>
    </row>
    <row r="10" spans="1:16" x14ac:dyDescent="0.2">
      <c r="A10" s="32"/>
      <c r="B10" s="33"/>
      <c r="C10" s="171"/>
      <c r="D10" s="23"/>
      <c r="E10" s="23"/>
      <c r="F10" s="23"/>
      <c r="G10" s="23"/>
      <c r="H10" s="23"/>
      <c r="I10" s="23"/>
      <c r="J10" s="23"/>
      <c r="K10" s="23"/>
      <c r="L10" s="23"/>
      <c r="M10" s="23"/>
      <c r="O10" s="93"/>
      <c r="P10" s="92" t="str">
        <f>A84</f>
        <v>Tāme sastādīta 2021. gada</v>
      </c>
    </row>
    <row r="11" spans="1:16" ht="12" thickBot="1" x14ac:dyDescent="0.25">
      <c r="A11" s="32"/>
      <c r="B11" s="33"/>
      <c r="C11" s="171"/>
      <c r="D11" s="23"/>
      <c r="E11" s="23"/>
      <c r="F11" s="23"/>
      <c r="G11" s="23"/>
      <c r="H11" s="23"/>
      <c r="I11" s="23"/>
      <c r="J11" s="23"/>
      <c r="K11" s="23"/>
      <c r="L11" s="27"/>
      <c r="M11" s="27"/>
      <c r="N11" s="35"/>
      <c r="O11" s="26"/>
      <c r="P11" s="23"/>
    </row>
    <row r="12" spans="1:16" x14ac:dyDescent="0.2">
      <c r="A12" s="368" t="s">
        <v>23</v>
      </c>
      <c r="B12" s="411" t="s">
        <v>40</v>
      </c>
      <c r="C12" s="413" t="s">
        <v>41</v>
      </c>
      <c r="D12" s="415" t="s">
        <v>42</v>
      </c>
      <c r="E12" s="417" t="s">
        <v>43</v>
      </c>
      <c r="F12" s="419" t="s">
        <v>44</v>
      </c>
      <c r="G12" s="413"/>
      <c r="H12" s="413"/>
      <c r="I12" s="413"/>
      <c r="J12" s="413"/>
      <c r="K12" s="420"/>
      <c r="L12" s="419" t="s">
        <v>45</v>
      </c>
      <c r="M12" s="413"/>
      <c r="N12" s="413"/>
      <c r="O12" s="413"/>
      <c r="P12" s="420"/>
    </row>
    <row r="13" spans="1:16" ht="126.75" customHeight="1" thickBot="1" x14ac:dyDescent="0.25">
      <c r="A13" s="410"/>
      <c r="B13" s="412"/>
      <c r="C13" s="414"/>
      <c r="D13" s="416"/>
      <c r="E13" s="418"/>
      <c r="F13" s="173" t="s">
        <v>46</v>
      </c>
      <c r="G13" s="174" t="s">
        <v>47</v>
      </c>
      <c r="H13" s="174" t="s">
        <v>48</v>
      </c>
      <c r="I13" s="174" t="s">
        <v>49</v>
      </c>
      <c r="J13" s="174" t="s">
        <v>50</v>
      </c>
      <c r="K13" s="175" t="s">
        <v>51</v>
      </c>
      <c r="L13" s="173" t="s">
        <v>46</v>
      </c>
      <c r="M13" s="174" t="s">
        <v>48</v>
      </c>
      <c r="N13" s="174" t="s">
        <v>49</v>
      </c>
      <c r="O13" s="174" t="s">
        <v>50</v>
      </c>
      <c r="P13" s="175" t="s">
        <v>51</v>
      </c>
    </row>
    <row r="14" spans="1:16" x14ac:dyDescent="0.2">
      <c r="A14" s="64" t="s">
        <v>68</v>
      </c>
      <c r="B14" s="65"/>
      <c r="C14" s="66" t="s">
        <v>170</v>
      </c>
      <c r="D14" s="129"/>
      <c r="E14" s="69"/>
      <c r="F14" s="70"/>
      <c r="G14" s="67"/>
      <c r="H14" s="67">
        <f>ROUND(F14*G14,2)</f>
        <v>0</v>
      </c>
      <c r="I14" s="67"/>
      <c r="J14" s="67"/>
      <c r="K14" s="257">
        <f>SUM(H14:J14)</f>
        <v>0</v>
      </c>
      <c r="L14" s="281">
        <f>ROUND(E14*F14,2)</f>
        <v>0</v>
      </c>
      <c r="M14" s="282">
        <f>ROUND(H14*E14,2)</f>
        <v>0</v>
      </c>
      <c r="N14" s="282">
        <f>ROUND(I14*E14,2)</f>
        <v>0</v>
      </c>
      <c r="O14" s="282">
        <f>ROUND(J14*E14,2)</f>
        <v>0</v>
      </c>
      <c r="P14" s="283">
        <f>SUM(M14:O14)</f>
        <v>0</v>
      </c>
    </row>
    <row r="15" spans="1:16" x14ac:dyDescent="0.2">
      <c r="A15" s="38"/>
      <c r="B15" s="39"/>
      <c r="C15" s="47" t="s">
        <v>171</v>
      </c>
      <c r="D15" s="25"/>
      <c r="E15" s="69"/>
      <c r="F15" s="70"/>
      <c r="G15" s="67"/>
      <c r="H15" s="48">
        <f t="shared" ref="H15:H76" si="0">ROUND(F15*G15,2)</f>
        <v>0</v>
      </c>
      <c r="I15" s="67"/>
      <c r="J15" s="67"/>
      <c r="K15" s="259">
        <f t="shared" ref="K15:K76" si="1">SUM(H15:J15)</f>
        <v>0</v>
      </c>
      <c r="L15" s="50">
        <f t="shared" ref="L15:L77" si="2">ROUND(E15*F15,2)</f>
        <v>0</v>
      </c>
      <c r="M15" s="48">
        <f t="shared" ref="M15:M76" si="3">ROUND(H15*E15,2)</f>
        <v>0</v>
      </c>
      <c r="N15" s="48">
        <f t="shared" ref="N15:N77" si="4">ROUND(I15*E15,2)</f>
        <v>0</v>
      </c>
      <c r="O15" s="48">
        <f t="shared" ref="O15:O77" si="5">ROUND(J15*E15,2)</f>
        <v>0</v>
      </c>
      <c r="P15" s="258">
        <f t="shared" ref="P15:P76" si="6">SUM(M15:O15)</f>
        <v>0</v>
      </c>
    </row>
    <row r="16" spans="1:16" x14ac:dyDescent="0.2">
      <c r="A16" s="38">
        <f>IF(COUNTBLANK(B16)=1," ",COUNTA($B16:B$16))</f>
        <v>1</v>
      </c>
      <c r="B16" s="39" t="s">
        <v>65</v>
      </c>
      <c r="C16" s="47" t="s">
        <v>172</v>
      </c>
      <c r="D16" s="25" t="s">
        <v>164</v>
      </c>
      <c r="E16" s="69">
        <v>4</v>
      </c>
      <c r="F16" s="70"/>
      <c r="G16" s="67"/>
      <c r="H16" s="48">
        <f t="shared" si="0"/>
        <v>0</v>
      </c>
      <c r="I16" s="67"/>
      <c r="J16" s="67"/>
      <c r="K16" s="25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258">
        <f t="shared" si="6"/>
        <v>0</v>
      </c>
    </row>
    <row r="17" spans="1:16" ht="22.5" x14ac:dyDescent="0.2">
      <c r="A17" s="38">
        <f>IF(COUNTBLANK(B17)=1," ",COUNTA($B$16:B17))</f>
        <v>2</v>
      </c>
      <c r="B17" s="295" t="s">
        <v>65</v>
      </c>
      <c r="C17" s="296" t="s">
        <v>489</v>
      </c>
      <c r="D17" s="297" t="s">
        <v>67</v>
      </c>
      <c r="E17" s="298">
        <f>3.85*4</f>
        <v>15.4</v>
      </c>
      <c r="F17" s="70"/>
      <c r="G17" s="67"/>
      <c r="H17" s="48"/>
      <c r="I17" s="67"/>
      <c r="J17" s="67"/>
      <c r="K17" s="259"/>
      <c r="L17" s="50"/>
      <c r="M17" s="48"/>
      <c r="N17" s="48"/>
      <c r="O17" s="48"/>
      <c r="P17" s="258"/>
    </row>
    <row r="18" spans="1:16" x14ac:dyDescent="0.2">
      <c r="A18" s="38" t="str">
        <f>IF(COUNTBLANK(B18)=1," ",COUNTA($B$16:B18))</f>
        <v xml:space="preserve"> </v>
      </c>
      <c r="B18" s="295"/>
      <c r="C18" s="299" t="s">
        <v>490</v>
      </c>
      <c r="D18" s="298" t="s">
        <v>157</v>
      </c>
      <c r="E18" s="298">
        <f>0.62*E17</f>
        <v>9.548</v>
      </c>
      <c r="F18" s="70"/>
      <c r="G18" s="67"/>
      <c r="H18" s="48"/>
      <c r="I18" s="67"/>
      <c r="J18" s="67"/>
      <c r="K18" s="259"/>
      <c r="L18" s="50"/>
      <c r="M18" s="48"/>
      <c r="N18" s="48"/>
      <c r="O18" s="48"/>
      <c r="P18" s="258"/>
    </row>
    <row r="19" spans="1:16" x14ac:dyDescent="0.2">
      <c r="A19" s="38" t="str">
        <f>IF(COUNTBLANK(B19)=1," ",COUNTA($B$16:B19))</f>
        <v xml:space="preserve"> </v>
      </c>
      <c r="B19" s="295"/>
      <c r="C19" s="299" t="s">
        <v>491</v>
      </c>
      <c r="D19" s="297" t="s">
        <v>73</v>
      </c>
      <c r="E19" s="298">
        <f>2.2*E17</f>
        <v>33.880000000000003</v>
      </c>
      <c r="F19" s="70"/>
      <c r="G19" s="67"/>
      <c r="H19" s="48"/>
      <c r="I19" s="67"/>
      <c r="J19" s="67"/>
      <c r="K19" s="259"/>
      <c r="L19" s="50"/>
      <c r="M19" s="48"/>
      <c r="N19" s="48"/>
      <c r="O19" s="48"/>
      <c r="P19" s="258"/>
    </row>
    <row r="20" spans="1:16" x14ac:dyDescent="0.2">
      <c r="A20" s="38" t="str">
        <f>IF(COUNTBLANK(B20)=1," ",COUNTA($B$16:B20))</f>
        <v xml:space="preserve"> </v>
      </c>
      <c r="B20" s="295"/>
      <c r="C20" s="299" t="s">
        <v>492</v>
      </c>
      <c r="D20" s="297" t="s">
        <v>157</v>
      </c>
      <c r="E20" s="298">
        <f>0.1*2.2*E17/0.96</f>
        <v>3.5291666666666672</v>
      </c>
      <c r="F20" s="70"/>
      <c r="G20" s="67"/>
      <c r="H20" s="48"/>
      <c r="I20" s="67"/>
      <c r="J20" s="67"/>
      <c r="K20" s="259"/>
      <c r="L20" s="50"/>
      <c r="M20" s="48"/>
      <c r="N20" s="48"/>
      <c r="O20" s="48"/>
      <c r="P20" s="258"/>
    </row>
    <row r="21" spans="1:16" x14ac:dyDescent="0.2">
      <c r="A21" s="38" t="str">
        <f>IF(COUNTBLANK(B21)=1," ",COUNTA($B$16:B21))</f>
        <v xml:space="preserve"> </v>
      </c>
      <c r="B21" s="295"/>
      <c r="C21" s="299" t="s">
        <v>493</v>
      </c>
      <c r="D21" s="297" t="s">
        <v>157</v>
      </c>
      <c r="E21" s="298">
        <f>0.05*E17/0.96</f>
        <v>0.80208333333333337</v>
      </c>
      <c r="F21" s="70"/>
      <c r="G21" s="67"/>
      <c r="H21" s="48"/>
      <c r="I21" s="67"/>
      <c r="J21" s="67"/>
      <c r="K21" s="259"/>
      <c r="L21" s="50"/>
      <c r="M21" s="48"/>
      <c r="N21" s="48"/>
      <c r="O21" s="48"/>
      <c r="P21" s="258"/>
    </row>
    <row r="22" spans="1:16" x14ac:dyDescent="0.2">
      <c r="A22" s="38" t="str">
        <f>IF(COUNTBLANK(B22)=1," ",COUNTA($B$16:B22))</f>
        <v xml:space="preserve"> </v>
      </c>
      <c r="B22" s="295"/>
      <c r="C22" s="299" t="s">
        <v>494</v>
      </c>
      <c r="D22" s="297" t="s">
        <v>83</v>
      </c>
      <c r="E22" s="298">
        <f>2.2/0.2*E17*2*0.63</f>
        <v>213.44400000000002</v>
      </c>
      <c r="F22" s="70"/>
      <c r="G22" s="67"/>
      <c r="H22" s="48"/>
      <c r="I22" s="67"/>
      <c r="J22" s="67"/>
      <c r="K22" s="259"/>
      <c r="L22" s="50"/>
      <c r="M22" s="48"/>
      <c r="N22" s="48"/>
      <c r="O22" s="48"/>
      <c r="P22" s="258"/>
    </row>
    <row r="23" spans="1:16" x14ac:dyDescent="0.2">
      <c r="A23" s="38" t="str">
        <f>IF(COUNTBLANK(B23)=1," ",COUNTA($B$16:B23))</f>
        <v xml:space="preserve"> </v>
      </c>
      <c r="B23" s="295"/>
      <c r="C23" s="299" t="s">
        <v>495</v>
      </c>
      <c r="D23" s="297" t="s">
        <v>83</v>
      </c>
      <c r="E23" s="298">
        <f>E17/0.4*2*2*0.23</f>
        <v>35.42</v>
      </c>
      <c r="F23" s="70"/>
      <c r="G23" s="67"/>
      <c r="H23" s="48"/>
      <c r="I23" s="67"/>
      <c r="J23" s="67"/>
      <c r="K23" s="259"/>
      <c r="L23" s="50"/>
      <c r="M23" s="48"/>
      <c r="N23" s="48"/>
      <c r="O23" s="48"/>
      <c r="P23" s="258"/>
    </row>
    <row r="24" spans="1:16" x14ac:dyDescent="0.2">
      <c r="A24" s="38" t="str">
        <f>IF(COUNTBLANK(B24)=1," ",COUNTA($B$16:B24))</f>
        <v xml:space="preserve"> </v>
      </c>
      <c r="B24" s="295"/>
      <c r="C24" s="299" t="s">
        <v>496</v>
      </c>
      <c r="D24" s="297" t="s">
        <v>83</v>
      </c>
      <c r="E24" s="298">
        <f>2.2/0.2*0.24*(E17/0.4)</f>
        <v>101.63999999999999</v>
      </c>
      <c r="F24" s="70"/>
      <c r="G24" s="67"/>
      <c r="H24" s="48"/>
      <c r="I24" s="67"/>
      <c r="J24" s="67"/>
      <c r="K24" s="259"/>
      <c r="L24" s="50"/>
      <c r="M24" s="48"/>
      <c r="N24" s="48"/>
      <c r="O24" s="48"/>
      <c r="P24" s="258"/>
    </row>
    <row r="25" spans="1:16" ht="22.5" x14ac:dyDescent="0.2">
      <c r="A25" s="38" t="str">
        <f>IF(COUNTBLANK(B25)=1," ",COUNTA($B$16:B25))</f>
        <v xml:space="preserve"> </v>
      </c>
      <c r="B25" s="295"/>
      <c r="C25" s="296" t="s">
        <v>488</v>
      </c>
      <c r="D25" s="297" t="s">
        <v>157</v>
      </c>
      <c r="E25" s="298">
        <f>1.5*5.33*0.3*4</f>
        <v>9.5939999999999994</v>
      </c>
      <c r="F25" s="70"/>
      <c r="G25" s="67"/>
      <c r="H25" s="48"/>
      <c r="I25" s="67"/>
      <c r="J25" s="67"/>
      <c r="K25" s="259"/>
      <c r="L25" s="50"/>
      <c r="M25" s="48"/>
      <c r="N25" s="48"/>
      <c r="O25" s="48"/>
      <c r="P25" s="258"/>
    </row>
    <row r="26" spans="1:16" ht="22.5" x14ac:dyDescent="0.2">
      <c r="A26" s="38" t="str">
        <f>IF(COUNTBLANK(B26)=1," ",COUNTA($B$16:B26))</f>
        <v xml:space="preserve"> </v>
      </c>
      <c r="B26" s="295"/>
      <c r="C26" s="299" t="s">
        <v>497</v>
      </c>
      <c r="D26" s="297" t="s">
        <v>67</v>
      </c>
      <c r="E26" s="298">
        <f>3.85*4</f>
        <v>15.4</v>
      </c>
      <c r="F26" s="70"/>
      <c r="G26" s="67"/>
      <c r="H26" s="48"/>
      <c r="I26" s="67"/>
      <c r="J26" s="67"/>
      <c r="K26" s="259"/>
      <c r="L26" s="50"/>
      <c r="M26" s="48"/>
      <c r="N26" s="48"/>
      <c r="O26" s="48"/>
      <c r="P26" s="258"/>
    </row>
    <row r="27" spans="1:16" x14ac:dyDescent="0.2">
      <c r="A27" s="38">
        <f>IF(COUNTBLANK(B27)=1," ",COUNTA($B$16:B27))</f>
        <v>3</v>
      </c>
      <c r="B27" s="39" t="s">
        <v>65</v>
      </c>
      <c r="C27" s="47" t="s">
        <v>174</v>
      </c>
      <c r="D27" s="25" t="s">
        <v>157</v>
      </c>
      <c r="E27" s="307">
        <f>1.21*3.05*4</f>
        <v>14.761999999999999</v>
      </c>
      <c r="F27" s="70"/>
      <c r="G27" s="67"/>
      <c r="H27" s="48">
        <f t="shared" si="0"/>
        <v>0</v>
      </c>
      <c r="I27" s="67"/>
      <c r="J27" s="67"/>
      <c r="K27" s="25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258">
        <f t="shared" si="6"/>
        <v>0</v>
      </c>
    </row>
    <row r="28" spans="1:16" x14ac:dyDescent="0.2">
      <c r="A28" s="38" t="str">
        <f>IF(COUNTBLANK(B28)=1," ",COUNTA($B$16:B28))</f>
        <v xml:space="preserve"> </v>
      </c>
      <c r="B28" s="39"/>
      <c r="C28" s="47" t="s">
        <v>175</v>
      </c>
      <c r="D28" s="25" t="s">
        <v>157</v>
      </c>
      <c r="E28" s="307">
        <f>E27*1.15</f>
        <v>16.976299999999998</v>
      </c>
      <c r="F28" s="70"/>
      <c r="G28" s="67"/>
      <c r="H28" s="48">
        <f t="shared" si="0"/>
        <v>0</v>
      </c>
      <c r="I28" s="67"/>
      <c r="J28" s="67"/>
      <c r="K28" s="25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258">
        <f t="shared" si="6"/>
        <v>0</v>
      </c>
    </row>
    <row r="29" spans="1:16" ht="22.5" x14ac:dyDescent="0.2">
      <c r="A29" s="38">
        <f>IF(COUNTBLANK(B29)=1," ",COUNTA($B$16:B29))</f>
        <v>4</v>
      </c>
      <c r="B29" s="39" t="s">
        <v>65</v>
      </c>
      <c r="C29" s="47" t="s">
        <v>176</v>
      </c>
      <c r="D29" s="25" t="s">
        <v>157</v>
      </c>
      <c r="E29" s="69">
        <v>1.8</v>
      </c>
      <c r="F29" s="70"/>
      <c r="G29" s="67"/>
      <c r="H29" s="48">
        <f t="shared" si="0"/>
        <v>0</v>
      </c>
      <c r="I29" s="67"/>
      <c r="J29" s="67"/>
      <c r="K29" s="25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258">
        <f t="shared" si="6"/>
        <v>0</v>
      </c>
    </row>
    <row r="30" spans="1:16" x14ac:dyDescent="0.2">
      <c r="A30" s="38">
        <f>IF(COUNTBLANK(B30)=1," ",COUNTA($B$16:B30))</f>
        <v>5</v>
      </c>
      <c r="B30" s="39" t="s">
        <v>65</v>
      </c>
      <c r="C30" s="47" t="s">
        <v>177</v>
      </c>
      <c r="D30" s="25" t="s">
        <v>70</v>
      </c>
      <c r="E30" s="69">
        <v>28</v>
      </c>
      <c r="F30" s="70"/>
      <c r="G30" s="67"/>
      <c r="H30" s="48">
        <f t="shared" si="0"/>
        <v>0</v>
      </c>
      <c r="I30" s="67"/>
      <c r="J30" s="67"/>
      <c r="K30" s="25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258">
        <f t="shared" si="6"/>
        <v>0</v>
      </c>
    </row>
    <row r="31" spans="1:16" ht="22.5" x14ac:dyDescent="0.2">
      <c r="A31" s="38">
        <f>IF(COUNTBLANK(B31)=1," ",COUNTA($B$16:B31))</f>
        <v>6</v>
      </c>
      <c r="B31" s="39" t="s">
        <v>65</v>
      </c>
      <c r="C31" s="47" t="s">
        <v>178</v>
      </c>
      <c r="D31" s="25" t="s">
        <v>73</v>
      </c>
      <c r="E31" s="69">
        <v>6</v>
      </c>
      <c r="F31" s="70"/>
      <c r="G31" s="67"/>
      <c r="H31" s="48">
        <f t="shared" si="0"/>
        <v>0</v>
      </c>
      <c r="I31" s="67"/>
      <c r="J31" s="67"/>
      <c r="K31" s="25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258">
        <f t="shared" si="6"/>
        <v>0</v>
      </c>
    </row>
    <row r="32" spans="1:16" x14ac:dyDescent="0.2">
      <c r="A32" s="38">
        <f>IF(COUNTBLANK(B32)=1," ",COUNTA($B$16:B32))</f>
        <v>7</v>
      </c>
      <c r="B32" s="39" t="s">
        <v>65</v>
      </c>
      <c r="C32" s="47" t="s">
        <v>179</v>
      </c>
      <c r="D32" s="25" t="s">
        <v>67</v>
      </c>
      <c r="E32" s="69">
        <v>8.4</v>
      </c>
      <c r="F32" s="70"/>
      <c r="G32" s="67"/>
      <c r="H32" s="48">
        <f t="shared" si="0"/>
        <v>0</v>
      </c>
      <c r="I32" s="67"/>
      <c r="J32" s="67"/>
      <c r="K32" s="25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258">
        <f t="shared" si="6"/>
        <v>0</v>
      </c>
    </row>
    <row r="33" spans="1:16" x14ac:dyDescent="0.2">
      <c r="A33" s="38" t="str">
        <f>IF(COUNTBLANK(B33)=1," ",COUNTA($B$16:B33))</f>
        <v xml:space="preserve"> </v>
      </c>
      <c r="B33" s="39"/>
      <c r="C33" s="47" t="s">
        <v>180</v>
      </c>
      <c r="D33" s="25"/>
      <c r="E33" s="69"/>
      <c r="F33" s="70"/>
      <c r="G33" s="67"/>
      <c r="H33" s="48">
        <f t="shared" si="0"/>
        <v>0</v>
      </c>
      <c r="I33" s="67"/>
      <c r="J33" s="67"/>
      <c r="K33" s="25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258">
        <f t="shared" si="6"/>
        <v>0</v>
      </c>
    </row>
    <row r="34" spans="1:16" ht="22.5" x14ac:dyDescent="0.2">
      <c r="A34" s="38">
        <f>IF(COUNTBLANK(B34)=1," ",COUNTA($B$16:B34))</f>
        <v>8</v>
      </c>
      <c r="B34" s="39" t="s">
        <v>65</v>
      </c>
      <c r="C34" s="47" t="s">
        <v>181</v>
      </c>
      <c r="D34" s="25" t="s">
        <v>164</v>
      </c>
      <c r="E34" s="69">
        <v>4</v>
      </c>
      <c r="F34" s="70"/>
      <c r="G34" s="67"/>
      <c r="H34" s="48">
        <f t="shared" si="0"/>
        <v>0</v>
      </c>
      <c r="I34" s="67"/>
      <c r="J34" s="67"/>
      <c r="K34" s="25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258">
        <f t="shared" si="6"/>
        <v>0</v>
      </c>
    </row>
    <row r="35" spans="1:16" ht="22.5" x14ac:dyDescent="0.2">
      <c r="A35" s="38">
        <f>IF(COUNTBLANK(B35)=1," ",COUNTA($B$16:B35))</f>
        <v>9</v>
      </c>
      <c r="B35" s="295" t="s">
        <v>65</v>
      </c>
      <c r="C35" s="296" t="s">
        <v>498</v>
      </c>
      <c r="D35" s="297" t="s">
        <v>67</v>
      </c>
      <c r="E35" s="298">
        <f>3.53*4</f>
        <v>14.12</v>
      </c>
      <c r="F35" s="70"/>
      <c r="G35" s="67"/>
      <c r="H35" s="48">
        <f t="shared" si="0"/>
        <v>0</v>
      </c>
      <c r="I35" s="67"/>
      <c r="J35" s="67"/>
      <c r="K35" s="25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258">
        <f t="shared" si="6"/>
        <v>0</v>
      </c>
    </row>
    <row r="36" spans="1:16" x14ac:dyDescent="0.2">
      <c r="A36" s="38"/>
      <c r="B36" s="295"/>
      <c r="C36" s="299" t="s">
        <v>490</v>
      </c>
      <c r="D36" s="298" t="s">
        <v>157</v>
      </c>
      <c r="E36" s="298">
        <f>0.62*E35</f>
        <v>8.7543999999999986</v>
      </c>
      <c r="F36" s="70"/>
      <c r="G36" s="67"/>
      <c r="H36" s="48"/>
      <c r="I36" s="67"/>
      <c r="J36" s="67"/>
      <c r="K36" s="259"/>
      <c r="L36" s="50"/>
      <c r="M36" s="48"/>
      <c r="N36" s="48"/>
      <c r="O36" s="48"/>
      <c r="P36" s="258"/>
    </row>
    <row r="37" spans="1:16" x14ac:dyDescent="0.2">
      <c r="A37" s="38"/>
      <c r="B37" s="295"/>
      <c r="C37" s="299" t="s">
        <v>491</v>
      </c>
      <c r="D37" s="297" t="s">
        <v>73</v>
      </c>
      <c r="E37" s="298">
        <f>2.2*E35</f>
        <v>31.064</v>
      </c>
      <c r="F37" s="70"/>
      <c r="G37" s="67"/>
      <c r="H37" s="48"/>
      <c r="I37" s="67"/>
      <c r="J37" s="67"/>
      <c r="K37" s="259"/>
      <c r="L37" s="50"/>
      <c r="M37" s="48"/>
      <c r="N37" s="48"/>
      <c r="O37" s="48"/>
      <c r="P37" s="258"/>
    </row>
    <row r="38" spans="1:16" x14ac:dyDescent="0.2">
      <c r="A38" s="38"/>
      <c r="B38" s="295"/>
      <c r="C38" s="299" t="s">
        <v>492</v>
      </c>
      <c r="D38" s="297" t="s">
        <v>157</v>
      </c>
      <c r="E38" s="298">
        <f>0.1*2.2*E35/0.96</f>
        <v>3.2358333333333338</v>
      </c>
      <c r="F38" s="70"/>
      <c r="G38" s="67"/>
      <c r="H38" s="48"/>
      <c r="I38" s="67"/>
      <c r="J38" s="67"/>
      <c r="K38" s="259"/>
      <c r="L38" s="50"/>
      <c r="M38" s="48"/>
      <c r="N38" s="48"/>
      <c r="O38" s="48"/>
      <c r="P38" s="258"/>
    </row>
    <row r="39" spans="1:16" x14ac:dyDescent="0.2">
      <c r="A39" s="38"/>
      <c r="B39" s="295"/>
      <c r="C39" s="299" t="s">
        <v>493</v>
      </c>
      <c r="D39" s="297" t="s">
        <v>157</v>
      </c>
      <c r="E39" s="298">
        <f>0.05*E35/0.96</f>
        <v>0.73541666666666661</v>
      </c>
      <c r="F39" s="70"/>
      <c r="G39" s="67"/>
      <c r="H39" s="48"/>
      <c r="I39" s="67"/>
      <c r="J39" s="67"/>
      <c r="K39" s="259"/>
      <c r="L39" s="50"/>
      <c r="M39" s="48"/>
      <c r="N39" s="48"/>
      <c r="O39" s="48"/>
      <c r="P39" s="258"/>
    </row>
    <row r="40" spans="1:16" x14ac:dyDescent="0.2">
      <c r="A40" s="38"/>
      <c r="B40" s="295"/>
      <c r="C40" s="299" t="s">
        <v>494</v>
      </c>
      <c r="D40" s="297" t="s">
        <v>83</v>
      </c>
      <c r="E40" s="298">
        <f>2.2/0.2*E35*2*0.63</f>
        <v>195.70319999999998</v>
      </c>
      <c r="F40" s="70"/>
      <c r="G40" s="67"/>
      <c r="H40" s="48"/>
      <c r="I40" s="67"/>
      <c r="J40" s="67"/>
      <c r="K40" s="259"/>
      <c r="L40" s="50"/>
      <c r="M40" s="48"/>
      <c r="N40" s="48"/>
      <c r="O40" s="48"/>
      <c r="P40" s="258"/>
    </row>
    <row r="41" spans="1:16" x14ac:dyDescent="0.2">
      <c r="A41" s="38"/>
      <c r="B41" s="295"/>
      <c r="C41" s="299" t="s">
        <v>495</v>
      </c>
      <c r="D41" s="297" t="s">
        <v>83</v>
      </c>
      <c r="E41" s="298">
        <f>E35/0.4*2*2*0.23</f>
        <v>32.475999999999999</v>
      </c>
      <c r="F41" s="70"/>
      <c r="G41" s="67"/>
      <c r="H41" s="48"/>
      <c r="I41" s="67"/>
      <c r="J41" s="67"/>
      <c r="K41" s="259"/>
      <c r="L41" s="50"/>
      <c r="M41" s="48"/>
      <c r="N41" s="48"/>
      <c r="O41" s="48"/>
      <c r="P41" s="258"/>
    </row>
    <row r="42" spans="1:16" x14ac:dyDescent="0.2">
      <c r="A42" s="38"/>
      <c r="B42" s="295"/>
      <c r="C42" s="299" t="s">
        <v>496</v>
      </c>
      <c r="D42" s="297" t="s">
        <v>83</v>
      </c>
      <c r="E42" s="298">
        <f>2.2/0.2*0.24*(E35/0.4)</f>
        <v>93.191999999999979</v>
      </c>
      <c r="F42" s="70"/>
      <c r="G42" s="67"/>
      <c r="H42" s="48"/>
      <c r="I42" s="67"/>
      <c r="J42" s="67"/>
      <c r="K42" s="259"/>
      <c r="L42" s="50"/>
      <c r="M42" s="48"/>
      <c r="N42" s="48"/>
      <c r="O42" s="48"/>
      <c r="P42" s="258"/>
    </row>
    <row r="43" spans="1:16" ht="22.5" x14ac:dyDescent="0.2">
      <c r="A43" s="38"/>
      <c r="B43" s="295"/>
      <c r="C43" s="296" t="s">
        <v>488</v>
      </c>
      <c r="D43" s="297" t="s">
        <v>157</v>
      </c>
      <c r="E43" s="298">
        <f>1.5*5.33*0.3*4</f>
        <v>9.5939999999999994</v>
      </c>
      <c r="F43" s="70"/>
      <c r="G43" s="67"/>
      <c r="H43" s="48"/>
      <c r="I43" s="67"/>
      <c r="J43" s="67"/>
      <c r="K43" s="259"/>
      <c r="L43" s="50"/>
      <c r="M43" s="48"/>
      <c r="N43" s="48"/>
      <c r="O43" s="48"/>
      <c r="P43" s="258"/>
    </row>
    <row r="44" spans="1:16" ht="22.5" x14ac:dyDescent="0.2">
      <c r="A44" s="38"/>
      <c r="B44" s="295"/>
      <c r="C44" s="299" t="s">
        <v>499</v>
      </c>
      <c r="D44" s="297" t="s">
        <v>67</v>
      </c>
      <c r="E44" s="298">
        <f>3.85*4</f>
        <v>15.4</v>
      </c>
      <c r="F44" s="70"/>
      <c r="G44" s="67"/>
      <c r="H44" s="48"/>
      <c r="I44" s="67"/>
      <c r="J44" s="67"/>
      <c r="K44" s="259"/>
      <c r="L44" s="50"/>
      <c r="M44" s="48"/>
      <c r="N44" s="48"/>
      <c r="O44" s="48"/>
      <c r="P44" s="258"/>
    </row>
    <row r="45" spans="1:16" x14ac:dyDescent="0.2">
      <c r="A45" s="38">
        <f>IF(COUNTBLANK(B45)=1," ",COUNTA($B$16:B45))</f>
        <v>10</v>
      </c>
      <c r="B45" s="39" t="s">
        <v>65</v>
      </c>
      <c r="C45" s="47" t="s">
        <v>173</v>
      </c>
      <c r="D45" s="25" t="s">
        <v>157</v>
      </c>
      <c r="E45" s="307">
        <f>((1*3.45+(1.43*1))+(1.71*1.6))*4*1.15</f>
        <v>35.033599999999993</v>
      </c>
      <c r="F45" s="70"/>
      <c r="G45" s="67"/>
      <c r="H45" s="48">
        <f t="shared" si="0"/>
        <v>0</v>
      </c>
      <c r="I45" s="67"/>
      <c r="J45" s="67"/>
      <c r="K45" s="25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258">
        <f t="shared" si="6"/>
        <v>0</v>
      </c>
    </row>
    <row r="46" spans="1:16" x14ac:dyDescent="0.2">
      <c r="A46" s="38">
        <f>IF(COUNTBLANK(B46)=1," ",COUNTA($B$16:B46))</f>
        <v>11</v>
      </c>
      <c r="B46" s="39" t="s">
        <v>65</v>
      </c>
      <c r="C46" s="47" t="s">
        <v>174</v>
      </c>
      <c r="D46" s="25" t="s">
        <v>157</v>
      </c>
      <c r="E46" s="307">
        <v>5</v>
      </c>
      <c r="F46" s="70"/>
      <c r="G46" s="67"/>
      <c r="H46" s="48">
        <f t="shared" si="0"/>
        <v>0</v>
      </c>
      <c r="I46" s="67"/>
      <c r="J46" s="67"/>
      <c r="K46" s="25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258">
        <f t="shared" si="6"/>
        <v>0</v>
      </c>
    </row>
    <row r="47" spans="1:16" x14ac:dyDescent="0.2">
      <c r="A47" s="38" t="str">
        <f>IF(COUNTBLANK(B47)=1," ",COUNTA($B$16:B47))</f>
        <v xml:space="preserve"> </v>
      </c>
      <c r="B47" s="39"/>
      <c r="C47" s="47" t="s">
        <v>175</v>
      </c>
      <c r="D47" s="25" t="s">
        <v>157</v>
      </c>
      <c r="E47" s="69">
        <v>5.5</v>
      </c>
      <c r="F47" s="70"/>
      <c r="G47" s="67"/>
      <c r="H47" s="48">
        <f t="shared" si="0"/>
        <v>0</v>
      </c>
      <c r="I47" s="67"/>
      <c r="J47" s="67"/>
      <c r="K47" s="25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258">
        <f t="shared" si="6"/>
        <v>0</v>
      </c>
    </row>
    <row r="48" spans="1:16" ht="22.5" x14ac:dyDescent="0.2">
      <c r="A48" s="38">
        <f>IF(COUNTBLANK(B48)=1," ",COUNTA($B$16:B48))</f>
        <v>12</v>
      </c>
      <c r="B48" s="39" t="s">
        <v>65</v>
      </c>
      <c r="C48" s="47" t="s">
        <v>182</v>
      </c>
      <c r="D48" s="25" t="s">
        <v>157</v>
      </c>
      <c r="E48" s="69">
        <v>12</v>
      </c>
      <c r="F48" s="70"/>
      <c r="G48" s="67"/>
      <c r="H48" s="48">
        <f t="shared" si="0"/>
        <v>0</v>
      </c>
      <c r="I48" s="67"/>
      <c r="J48" s="67"/>
      <c r="K48" s="25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258">
        <f t="shared" si="6"/>
        <v>0</v>
      </c>
    </row>
    <row r="49" spans="1:16" x14ac:dyDescent="0.2">
      <c r="A49" s="38">
        <f>IF(COUNTBLANK(B49)=1," ",COUNTA($B$16:B49))</f>
        <v>13</v>
      </c>
      <c r="B49" s="39" t="s">
        <v>65</v>
      </c>
      <c r="C49" s="47" t="s">
        <v>177</v>
      </c>
      <c r="D49" s="25" t="s">
        <v>70</v>
      </c>
      <c r="E49" s="69">
        <v>28</v>
      </c>
      <c r="F49" s="70"/>
      <c r="G49" s="67"/>
      <c r="H49" s="48">
        <f t="shared" si="0"/>
        <v>0</v>
      </c>
      <c r="I49" s="67"/>
      <c r="J49" s="67"/>
      <c r="K49" s="25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258">
        <f t="shared" si="6"/>
        <v>0</v>
      </c>
    </row>
    <row r="50" spans="1:16" x14ac:dyDescent="0.2">
      <c r="A50" s="38">
        <f>IF(COUNTBLANK(B50)=1," ",COUNTA($B$16:B50))</f>
        <v>14</v>
      </c>
      <c r="B50" s="39" t="s">
        <v>65</v>
      </c>
      <c r="C50" s="47" t="s">
        <v>179</v>
      </c>
      <c r="D50" s="25" t="s">
        <v>67</v>
      </c>
      <c r="E50" s="69">
        <v>20</v>
      </c>
      <c r="F50" s="70"/>
      <c r="G50" s="67"/>
      <c r="H50" s="48">
        <f t="shared" si="0"/>
        <v>0</v>
      </c>
      <c r="I50" s="67"/>
      <c r="J50" s="67"/>
      <c r="K50" s="25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258">
        <f t="shared" si="6"/>
        <v>0</v>
      </c>
    </row>
    <row r="51" spans="1:16" ht="22.5" x14ac:dyDescent="0.2">
      <c r="A51" s="38">
        <f>IF(COUNTBLANK(B51)=1," ",COUNTA($B$16:B51))</f>
        <v>15</v>
      </c>
      <c r="B51" s="39" t="s">
        <v>65</v>
      </c>
      <c r="C51" s="47" t="s">
        <v>183</v>
      </c>
      <c r="D51" s="25" t="s">
        <v>73</v>
      </c>
      <c r="E51" s="69">
        <v>12</v>
      </c>
      <c r="F51" s="70"/>
      <c r="G51" s="67"/>
      <c r="H51" s="48">
        <f t="shared" si="0"/>
        <v>0</v>
      </c>
      <c r="I51" s="67"/>
      <c r="J51" s="67"/>
      <c r="K51" s="25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258">
        <f t="shared" si="6"/>
        <v>0</v>
      </c>
    </row>
    <row r="52" spans="1:16" x14ac:dyDescent="0.2">
      <c r="A52" s="38">
        <f>IF(COUNTBLANK(B52)=1," ",COUNTA($B$16:B52))</f>
        <v>16</v>
      </c>
      <c r="B52" s="39" t="s">
        <v>65</v>
      </c>
      <c r="C52" s="47" t="s">
        <v>168</v>
      </c>
      <c r="D52" s="25" t="s">
        <v>73</v>
      </c>
      <c r="E52" s="69">
        <v>20</v>
      </c>
      <c r="F52" s="70"/>
      <c r="G52" s="67"/>
      <c r="H52" s="48">
        <f t="shared" si="0"/>
        <v>0</v>
      </c>
      <c r="I52" s="67"/>
      <c r="J52" s="67"/>
      <c r="K52" s="25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258">
        <f t="shared" si="6"/>
        <v>0</v>
      </c>
    </row>
    <row r="53" spans="1:16" x14ac:dyDescent="0.2">
      <c r="A53" s="38" t="str">
        <f>IF(COUNTBLANK(B53)=1," ",COUNTA($B$16:B53))</f>
        <v xml:space="preserve"> </v>
      </c>
      <c r="B53" s="39"/>
      <c r="C53" s="47" t="s">
        <v>169</v>
      </c>
      <c r="D53" s="25" t="s">
        <v>83</v>
      </c>
      <c r="E53" s="69">
        <v>0.43999999999999995</v>
      </c>
      <c r="F53" s="70"/>
      <c r="G53" s="67"/>
      <c r="H53" s="48">
        <f t="shared" si="0"/>
        <v>0</v>
      </c>
      <c r="I53" s="67"/>
      <c r="J53" s="67"/>
      <c r="K53" s="25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258">
        <f t="shared" si="6"/>
        <v>0</v>
      </c>
    </row>
    <row r="54" spans="1:16" x14ac:dyDescent="0.2">
      <c r="A54" s="38" t="str">
        <f>IF(COUNTBLANK(B54)=1," ",COUNTA($B$16:B54))</f>
        <v xml:space="preserve"> </v>
      </c>
      <c r="B54" s="39"/>
      <c r="C54" s="47" t="s">
        <v>184</v>
      </c>
      <c r="D54" s="25"/>
      <c r="E54" s="69"/>
      <c r="F54" s="70"/>
      <c r="G54" s="67"/>
      <c r="H54" s="48">
        <f t="shared" si="0"/>
        <v>0</v>
      </c>
      <c r="I54" s="67"/>
      <c r="J54" s="67"/>
      <c r="K54" s="25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258">
        <f t="shared" si="6"/>
        <v>0</v>
      </c>
    </row>
    <row r="55" spans="1:16" x14ac:dyDescent="0.2">
      <c r="A55" s="38">
        <f>IF(COUNTBLANK(B55)=1," ",COUNTA($B$16:B55))</f>
        <v>17</v>
      </c>
      <c r="B55" s="39" t="s">
        <v>65</v>
      </c>
      <c r="C55" s="47" t="s">
        <v>185</v>
      </c>
      <c r="D55" s="25" t="s">
        <v>73</v>
      </c>
      <c r="E55" s="69">
        <v>20.22</v>
      </c>
      <c r="F55" s="70"/>
      <c r="G55" s="67"/>
      <c r="H55" s="48">
        <f t="shared" si="0"/>
        <v>0</v>
      </c>
      <c r="I55" s="67"/>
      <c r="J55" s="67"/>
      <c r="K55" s="25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258">
        <f t="shared" si="6"/>
        <v>0</v>
      </c>
    </row>
    <row r="56" spans="1:16" ht="22.5" x14ac:dyDescent="0.2">
      <c r="A56" s="38">
        <f>IF(COUNTBLANK(B56)=1," ",COUNTA($B$16:B56))</f>
        <v>18</v>
      </c>
      <c r="B56" s="39" t="s">
        <v>65</v>
      </c>
      <c r="C56" s="47" t="s">
        <v>186</v>
      </c>
      <c r="D56" s="25" t="s">
        <v>157</v>
      </c>
      <c r="E56" s="69">
        <v>0.40439999999999998</v>
      </c>
      <c r="F56" s="70"/>
      <c r="G56" s="67"/>
      <c r="H56" s="48">
        <f t="shared" si="0"/>
        <v>0</v>
      </c>
      <c r="I56" s="67"/>
      <c r="J56" s="67"/>
      <c r="K56" s="25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258">
        <f t="shared" si="6"/>
        <v>0</v>
      </c>
    </row>
    <row r="57" spans="1:16" x14ac:dyDescent="0.2">
      <c r="A57" s="38" t="str">
        <f>IF(COUNTBLANK(B57)=1," ",COUNTA($B$16:B57))</f>
        <v xml:space="preserve"> </v>
      </c>
      <c r="B57" s="39"/>
      <c r="C57" s="47" t="s">
        <v>187</v>
      </c>
      <c r="D57" s="25" t="s">
        <v>124</v>
      </c>
      <c r="E57" s="69">
        <v>0.42462</v>
      </c>
      <c r="F57" s="70"/>
      <c r="G57" s="67"/>
      <c r="H57" s="48">
        <f t="shared" si="0"/>
        <v>0</v>
      </c>
      <c r="I57" s="67"/>
      <c r="J57" s="67"/>
      <c r="K57" s="25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258">
        <f t="shared" si="6"/>
        <v>0</v>
      </c>
    </row>
    <row r="58" spans="1:16" x14ac:dyDescent="0.2">
      <c r="A58" s="38">
        <f>IF(COUNTBLANK(B58)=1," ",COUNTA($B$16:B58))</f>
        <v>19</v>
      </c>
      <c r="B58" s="39" t="s">
        <v>65</v>
      </c>
      <c r="C58" s="47" t="s">
        <v>188</v>
      </c>
      <c r="D58" s="25" t="s">
        <v>73</v>
      </c>
      <c r="E58" s="69">
        <v>20.22</v>
      </c>
      <c r="F58" s="70"/>
      <c r="G58" s="67"/>
      <c r="H58" s="48">
        <f t="shared" si="0"/>
        <v>0</v>
      </c>
      <c r="I58" s="67"/>
      <c r="J58" s="67"/>
      <c r="K58" s="25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258">
        <f t="shared" si="6"/>
        <v>0</v>
      </c>
    </row>
    <row r="59" spans="1:16" x14ac:dyDescent="0.2">
      <c r="A59" s="38" t="str">
        <f>IF(COUNTBLANK(B59)=1," ",COUNTA($B$16:B59))</f>
        <v xml:space="preserve"> </v>
      </c>
      <c r="B59" s="39"/>
      <c r="C59" s="47" t="s">
        <v>189</v>
      </c>
      <c r="D59" s="25" t="s">
        <v>106</v>
      </c>
      <c r="E59" s="69">
        <v>23.252999999999997</v>
      </c>
      <c r="F59" s="70"/>
      <c r="G59" s="67"/>
      <c r="H59" s="48">
        <f t="shared" si="0"/>
        <v>0</v>
      </c>
      <c r="I59" s="67"/>
      <c r="J59" s="67"/>
      <c r="K59" s="25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258">
        <f t="shared" si="6"/>
        <v>0</v>
      </c>
    </row>
    <row r="60" spans="1:16" x14ac:dyDescent="0.2">
      <c r="A60" s="38" t="str">
        <f>IF(COUNTBLANK(B60)=1," ",COUNTA($B$16:B60))</f>
        <v xml:space="preserve"> </v>
      </c>
      <c r="B60" s="39"/>
      <c r="C60" s="47" t="s">
        <v>190</v>
      </c>
      <c r="D60" s="25" t="s">
        <v>106</v>
      </c>
      <c r="E60" s="69">
        <v>23.252999999999997</v>
      </c>
      <c r="F60" s="70"/>
      <c r="G60" s="67"/>
      <c r="H60" s="48">
        <f t="shared" si="0"/>
        <v>0</v>
      </c>
      <c r="I60" s="67"/>
      <c r="J60" s="67"/>
      <c r="K60" s="25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258">
        <f t="shared" si="6"/>
        <v>0</v>
      </c>
    </row>
    <row r="61" spans="1:16" x14ac:dyDescent="0.2">
      <c r="A61" s="38" t="str">
        <f>IF(COUNTBLANK(B61)=1," ",COUNTA($B$16:B61))</f>
        <v xml:space="preserve"> </v>
      </c>
      <c r="B61" s="39"/>
      <c r="C61" s="47" t="s">
        <v>191</v>
      </c>
      <c r="D61" s="25" t="s">
        <v>192</v>
      </c>
      <c r="E61" s="69">
        <v>0.50549999999999995</v>
      </c>
      <c r="F61" s="70"/>
      <c r="G61" s="67"/>
      <c r="H61" s="48">
        <f t="shared" si="0"/>
        <v>0</v>
      </c>
      <c r="I61" s="67"/>
      <c r="J61" s="67"/>
      <c r="K61" s="25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258">
        <f t="shared" si="6"/>
        <v>0</v>
      </c>
    </row>
    <row r="62" spans="1:16" x14ac:dyDescent="0.2">
      <c r="A62" s="38">
        <f>IF(COUNTBLANK(B62)=1," ",COUNTA($B$16:B62))</f>
        <v>20</v>
      </c>
      <c r="B62" s="39" t="s">
        <v>65</v>
      </c>
      <c r="C62" s="47" t="s">
        <v>193</v>
      </c>
      <c r="D62" s="25" t="s">
        <v>67</v>
      </c>
      <c r="E62" s="69">
        <v>12.8</v>
      </c>
      <c r="F62" s="70"/>
      <c r="G62" s="67"/>
      <c r="H62" s="48">
        <f t="shared" si="0"/>
        <v>0</v>
      </c>
      <c r="I62" s="67"/>
      <c r="J62" s="67"/>
      <c r="K62" s="25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258">
        <f t="shared" si="6"/>
        <v>0</v>
      </c>
    </row>
    <row r="63" spans="1:16" x14ac:dyDescent="0.2">
      <c r="A63" s="38">
        <f>IF(COUNTBLANK(B63)=1," ",COUNTA($B$16:B63))</f>
        <v>21</v>
      </c>
      <c r="B63" s="39" t="s">
        <v>65</v>
      </c>
      <c r="C63" s="47" t="s">
        <v>194</v>
      </c>
      <c r="D63" s="25" t="s">
        <v>67</v>
      </c>
      <c r="E63" s="69">
        <v>12.8</v>
      </c>
      <c r="F63" s="70"/>
      <c r="G63" s="67"/>
      <c r="H63" s="48">
        <f t="shared" si="0"/>
        <v>0</v>
      </c>
      <c r="I63" s="67"/>
      <c r="J63" s="67"/>
      <c r="K63" s="25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258">
        <f t="shared" si="6"/>
        <v>0</v>
      </c>
    </row>
    <row r="64" spans="1:16" x14ac:dyDescent="0.2">
      <c r="A64" s="38" t="str">
        <f>IF(COUNTBLANK(B64)=1," ",COUNTA($B$16:B64))</f>
        <v xml:space="preserve"> </v>
      </c>
      <c r="B64" s="39"/>
      <c r="C64" s="47" t="s">
        <v>163</v>
      </c>
      <c r="D64" s="25" t="s">
        <v>164</v>
      </c>
      <c r="E64" s="69">
        <v>1</v>
      </c>
      <c r="F64" s="70"/>
      <c r="G64" s="67"/>
      <c r="H64" s="48">
        <f t="shared" si="0"/>
        <v>0</v>
      </c>
      <c r="I64" s="67"/>
      <c r="J64" s="67"/>
      <c r="K64" s="25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258">
        <f t="shared" si="6"/>
        <v>0</v>
      </c>
    </row>
    <row r="65" spans="1:16" x14ac:dyDescent="0.2">
      <c r="A65" s="38" t="str">
        <f>IF(COUNTBLANK(B65)=1," ",COUNTA($B$16:B65))</f>
        <v xml:space="preserve"> </v>
      </c>
      <c r="B65" s="39"/>
      <c r="C65" s="47" t="s">
        <v>195</v>
      </c>
      <c r="D65" s="25" t="s">
        <v>73</v>
      </c>
      <c r="E65" s="69">
        <v>1.92</v>
      </c>
      <c r="F65" s="70"/>
      <c r="G65" s="67"/>
      <c r="H65" s="48">
        <f t="shared" si="0"/>
        <v>0</v>
      </c>
      <c r="I65" s="67"/>
      <c r="J65" s="67"/>
      <c r="K65" s="25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258">
        <f t="shared" si="6"/>
        <v>0</v>
      </c>
    </row>
    <row r="66" spans="1:16" ht="22.5" x14ac:dyDescent="0.2">
      <c r="A66" s="38">
        <f>IF(COUNTBLANK(B66)=1," ",COUNTA($B$16:B66))</f>
        <v>22</v>
      </c>
      <c r="B66" s="39" t="s">
        <v>65</v>
      </c>
      <c r="C66" s="47" t="s">
        <v>196</v>
      </c>
      <c r="D66" s="25" t="s">
        <v>67</v>
      </c>
      <c r="E66" s="69">
        <v>12.8</v>
      </c>
      <c r="F66" s="70"/>
      <c r="G66" s="67"/>
      <c r="H66" s="48">
        <f t="shared" si="0"/>
        <v>0</v>
      </c>
      <c r="I66" s="67"/>
      <c r="J66" s="67"/>
      <c r="K66" s="25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258">
        <f t="shared" si="6"/>
        <v>0</v>
      </c>
    </row>
    <row r="67" spans="1:16" x14ac:dyDescent="0.2">
      <c r="A67" s="38" t="str">
        <f>IF(COUNTBLANK(B67)=1," ",COUNTA($B$16:B67))</f>
        <v xml:space="preserve"> </v>
      </c>
      <c r="B67" s="39"/>
      <c r="C67" s="47" t="s">
        <v>163</v>
      </c>
      <c r="D67" s="25" t="s">
        <v>164</v>
      </c>
      <c r="E67" s="69">
        <v>1</v>
      </c>
      <c r="F67" s="70"/>
      <c r="G67" s="67"/>
      <c r="H67" s="48">
        <f t="shared" si="0"/>
        <v>0</v>
      </c>
      <c r="I67" s="67"/>
      <c r="J67" s="67"/>
      <c r="K67" s="25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258">
        <f t="shared" si="6"/>
        <v>0</v>
      </c>
    </row>
    <row r="68" spans="1:16" x14ac:dyDescent="0.2">
      <c r="A68" s="38" t="str">
        <f>IF(COUNTBLANK(B68)=1," ",COUNTA($B$16:B68))</f>
        <v xml:space="preserve"> </v>
      </c>
      <c r="B68" s="39"/>
      <c r="C68" s="47" t="s">
        <v>195</v>
      </c>
      <c r="D68" s="25" t="s">
        <v>73</v>
      </c>
      <c r="E68" s="69">
        <v>6.4</v>
      </c>
      <c r="F68" s="70"/>
      <c r="G68" s="67"/>
      <c r="H68" s="48">
        <f t="shared" si="0"/>
        <v>0</v>
      </c>
      <c r="I68" s="67"/>
      <c r="J68" s="67"/>
      <c r="K68" s="25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258">
        <f t="shared" si="6"/>
        <v>0</v>
      </c>
    </row>
    <row r="69" spans="1:16" x14ac:dyDescent="0.2">
      <c r="A69" s="38" t="str">
        <f>IF(COUNTBLANK(B69)=1," ",COUNTA($B$16:B69))</f>
        <v xml:space="preserve"> </v>
      </c>
      <c r="B69" s="39"/>
      <c r="C69" s="47" t="s">
        <v>197</v>
      </c>
      <c r="D69" s="25"/>
      <c r="E69" s="69"/>
      <c r="F69" s="70"/>
      <c r="G69" s="67"/>
      <c r="H69" s="48">
        <f t="shared" si="0"/>
        <v>0</v>
      </c>
      <c r="I69" s="67"/>
      <c r="J69" s="67"/>
      <c r="K69" s="25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258">
        <f t="shared" si="6"/>
        <v>0</v>
      </c>
    </row>
    <row r="70" spans="1:16" ht="22.5" x14ac:dyDescent="0.2">
      <c r="A70" s="38">
        <f>IF(COUNTBLANK(B70)=1," ",COUNTA($B$16:B70))</f>
        <v>23</v>
      </c>
      <c r="B70" s="39" t="s">
        <v>65</v>
      </c>
      <c r="C70" s="47" t="s">
        <v>198</v>
      </c>
      <c r="D70" s="25" t="s">
        <v>73</v>
      </c>
      <c r="E70" s="69">
        <v>20.22</v>
      </c>
      <c r="F70" s="70"/>
      <c r="G70" s="67"/>
      <c r="H70" s="48">
        <f t="shared" si="0"/>
        <v>0</v>
      </c>
      <c r="I70" s="67"/>
      <c r="J70" s="67"/>
      <c r="K70" s="25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258">
        <f t="shared" si="6"/>
        <v>0</v>
      </c>
    </row>
    <row r="71" spans="1:16" x14ac:dyDescent="0.2">
      <c r="A71" s="38">
        <f>IF(COUNTBLANK(B71)=1," ",COUNTA($B$16:B71))</f>
        <v>24</v>
      </c>
      <c r="B71" s="39" t="s">
        <v>65</v>
      </c>
      <c r="C71" s="47" t="s">
        <v>199</v>
      </c>
      <c r="D71" s="25" t="s">
        <v>73</v>
      </c>
      <c r="E71" s="69">
        <v>20.22</v>
      </c>
      <c r="F71" s="70"/>
      <c r="G71" s="67"/>
      <c r="H71" s="48">
        <f t="shared" si="0"/>
        <v>0</v>
      </c>
      <c r="I71" s="67"/>
      <c r="J71" s="67"/>
      <c r="K71" s="25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258">
        <f t="shared" si="6"/>
        <v>0</v>
      </c>
    </row>
    <row r="72" spans="1:16" ht="22.5" x14ac:dyDescent="0.2">
      <c r="A72" s="38">
        <f>IF(COUNTBLANK(B72)=1," ",COUNTA($B$16:B72))</f>
        <v>25</v>
      </c>
      <c r="B72" s="39" t="s">
        <v>65</v>
      </c>
      <c r="C72" s="47" t="s">
        <v>200</v>
      </c>
      <c r="D72" s="25" t="s">
        <v>73</v>
      </c>
      <c r="E72" s="69">
        <v>20.22</v>
      </c>
      <c r="F72" s="70"/>
      <c r="G72" s="67"/>
      <c r="H72" s="48">
        <f t="shared" si="0"/>
        <v>0</v>
      </c>
      <c r="I72" s="67"/>
      <c r="J72" s="67"/>
      <c r="K72" s="25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258">
        <f t="shared" si="6"/>
        <v>0</v>
      </c>
    </row>
    <row r="73" spans="1:16" ht="22.5" x14ac:dyDescent="0.2">
      <c r="A73" s="38">
        <f>IF(COUNTBLANK(B73)=1," ",COUNTA($B$16:B73))</f>
        <v>26</v>
      </c>
      <c r="B73" s="39" t="s">
        <v>65</v>
      </c>
      <c r="C73" s="47" t="s">
        <v>201</v>
      </c>
      <c r="D73" s="25" t="s">
        <v>73</v>
      </c>
      <c r="E73" s="69">
        <v>20.22</v>
      </c>
      <c r="F73" s="70"/>
      <c r="G73" s="67"/>
      <c r="H73" s="48">
        <f t="shared" si="0"/>
        <v>0</v>
      </c>
      <c r="I73" s="67"/>
      <c r="J73" s="67"/>
      <c r="K73" s="25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258">
        <f t="shared" si="6"/>
        <v>0</v>
      </c>
    </row>
    <row r="74" spans="1:16" ht="22.5" x14ac:dyDescent="0.2">
      <c r="A74" s="38">
        <f>IF(COUNTBLANK(B74)=1," ",COUNTA($B$16:B74))</f>
        <v>27</v>
      </c>
      <c r="B74" s="39" t="s">
        <v>65</v>
      </c>
      <c r="C74" s="47" t="s">
        <v>202</v>
      </c>
      <c r="D74" s="25" t="s">
        <v>73</v>
      </c>
      <c r="E74" s="69">
        <v>20.22</v>
      </c>
      <c r="F74" s="70"/>
      <c r="G74" s="67"/>
      <c r="H74" s="48">
        <f t="shared" si="0"/>
        <v>0</v>
      </c>
      <c r="I74" s="67"/>
      <c r="J74" s="67"/>
      <c r="K74" s="25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258">
        <f t="shared" si="6"/>
        <v>0</v>
      </c>
    </row>
    <row r="75" spans="1:16" x14ac:dyDescent="0.2">
      <c r="A75" s="38">
        <f>IF(COUNTBLANK(B75)=1," ",COUNTA($B$16:B75))</f>
        <v>28</v>
      </c>
      <c r="B75" s="39" t="s">
        <v>65</v>
      </c>
      <c r="C75" s="47" t="s">
        <v>203</v>
      </c>
      <c r="D75" s="25" t="s">
        <v>67</v>
      </c>
      <c r="E75" s="25">
        <v>14.4</v>
      </c>
      <c r="F75" s="48"/>
      <c r="G75" s="48"/>
      <c r="H75" s="48">
        <f t="shared" si="0"/>
        <v>0</v>
      </c>
      <c r="I75" s="48"/>
      <c r="J75" s="48"/>
      <c r="K75" s="25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258">
        <f t="shared" si="6"/>
        <v>0</v>
      </c>
    </row>
    <row r="76" spans="1:16" x14ac:dyDescent="0.2">
      <c r="A76" s="38">
        <f>IF(COUNTBLANK(B76)=1," ",COUNTA($B$16:B76))</f>
        <v>29</v>
      </c>
      <c r="B76" s="39" t="s">
        <v>65</v>
      </c>
      <c r="C76" s="47" t="s">
        <v>204</v>
      </c>
      <c r="D76" s="25" t="s">
        <v>67</v>
      </c>
      <c r="E76" s="25">
        <v>8.8000000000000007</v>
      </c>
      <c r="F76" s="48"/>
      <c r="G76" s="48"/>
      <c r="H76" s="48">
        <f t="shared" si="0"/>
        <v>0</v>
      </c>
      <c r="I76" s="48"/>
      <c r="J76" s="48"/>
      <c r="K76" s="25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258">
        <f t="shared" si="6"/>
        <v>0</v>
      </c>
    </row>
    <row r="77" spans="1:16" ht="23.25" thickBot="1" x14ac:dyDescent="0.25">
      <c r="A77" s="38">
        <f>IF(COUNTBLANK(B77)=1," ",COUNTA($B$16:B77))</f>
        <v>30</v>
      </c>
      <c r="B77" s="39" t="s">
        <v>65</v>
      </c>
      <c r="C77" s="260" t="s">
        <v>468</v>
      </c>
      <c r="D77" s="25" t="s">
        <v>126</v>
      </c>
      <c r="E77" s="25">
        <v>8</v>
      </c>
      <c r="F77" s="48"/>
      <c r="G77" s="48"/>
      <c r="H77" s="48"/>
      <c r="I77" s="48"/>
      <c r="J77" s="48"/>
      <c r="K77" s="259"/>
      <c r="L77" s="290">
        <f t="shared" si="2"/>
        <v>0</v>
      </c>
      <c r="M77" s="291"/>
      <c r="N77" s="291">
        <f t="shared" si="4"/>
        <v>0</v>
      </c>
      <c r="O77" s="291">
        <f t="shared" si="5"/>
        <v>0</v>
      </c>
      <c r="P77" s="293"/>
    </row>
    <row r="78" spans="1:16" ht="12" thickBot="1" x14ac:dyDescent="0.25">
      <c r="A78" s="423" t="s">
        <v>514</v>
      </c>
      <c r="B78" s="424"/>
      <c r="C78" s="424"/>
      <c r="D78" s="425"/>
      <c r="E78" s="425"/>
      <c r="F78" s="425"/>
      <c r="G78" s="425"/>
      <c r="H78" s="425"/>
      <c r="I78" s="425"/>
      <c r="J78" s="425"/>
      <c r="K78" s="426"/>
      <c r="L78" s="261">
        <f>SUM(L14:L77)</f>
        <v>0</v>
      </c>
      <c r="M78" s="262">
        <f>SUM(M14:M76)</f>
        <v>0</v>
      </c>
      <c r="N78" s="262">
        <f>SUM(N14:N77)</f>
        <v>0</v>
      </c>
      <c r="O78" s="262">
        <f>SUM(O14:O77)</f>
        <v>0</v>
      </c>
      <c r="P78" s="263">
        <f>SUM(P14:P76)</f>
        <v>0</v>
      </c>
    </row>
    <row r="79" spans="1:16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1" t="s">
        <v>14</v>
      </c>
      <c r="B81" s="17"/>
      <c r="C81" s="421">
        <f>'Kops a'!C32:H32</f>
        <v>0</v>
      </c>
      <c r="D81" s="421"/>
      <c r="E81" s="421"/>
      <c r="F81" s="421"/>
      <c r="G81" s="421"/>
      <c r="H81" s="421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7"/>
      <c r="B82" s="17"/>
      <c r="C82" s="331" t="s">
        <v>15</v>
      </c>
      <c r="D82" s="331"/>
      <c r="E82" s="331"/>
      <c r="F82" s="331"/>
      <c r="G82" s="331"/>
      <c r="H82" s="331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90" t="str">
        <f>'Kops a'!A35</f>
        <v>Tāme sastādīta 2021. gada</v>
      </c>
      <c r="B84" s="91"/>
      <c r="C84" s="91"/>
      <c r="D84" s="91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1" t="s">
        <v>37</v>
      </c>
      <c r="B86" s="17"/>
      <c r="C86" s="421">
        <f>'Kops a'!C37:H37</f>
        <v>0</v>
      </c>
      <c r="D86" s="421"/>
      <c r="E86" s="421"/>
      <c r="F86" s="421"/>
      <c r="G86" s="421"/>
      <c r="H86" s="421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7"/>
      <c r="B87" s="17"/>
      <c r="C87" s="331" t="s">
        <v>15</v>
      </c>
      <c r="D87" s="331"/>
      <c r="E87" s="331"/>
      <c r="F87" s="331"/>
      <c r="G87" s="331"/>
      <c r="H87" s="331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90" t="s">
        <v>54</v>
      </c>
      <c r="B89" s="91"/>
      <c r="C89" s="94">
        <f>'Kops a'!C40</f>
        <v>0</v>
      </c>
      <c r="D89" s="51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ht="12" x14ac:dyDescent="0.2">
      <c r="A91" s="264" t="s">
        <v>316</v>
      </c>
      <c r="B91" s="265"/>
      <c r="C91" s="264"/>
      <c r="D91" s="264"/>
      <c r="E91" s="266"/>
      <c r="F91" s="267"/>
      <c r="G91" s="266"/>
      <c r="H91" s="268"/>
      <c r="I91" s="268"/>
      <c r="J91" s="269"/>
      <c r="K91" s="270"/>
      <c r="L91" s="270"/>
      <c r="M91" s="270"/>
      <c r="N91" s="270"/>
      <c r="O91" s="270"/>
    </row>
    <row r="92" spans="1:16" ht="12" x14ac:dyDescent="0.2">
      <c r="A92" s="406" t="s">
        <v>317</v>
      </c>
      <c r="B92" s="406"/>
      <c r="C92" s="406"/>
      <c r="D92" s="406"/>
      <c r="E92" s="406"/>
      <c r="F92" s="406"/>
      <c r="G92" s="406"/>
      <c r="H92" s="406"/>
      <c r="I92" s="406"/>
      <c r="J92" s="406"/>
      <c r="K92" s="406"/>
      <c r="L92" s="406"/>
      <c r="M92" s="406"/>
      <c r="N92" s="406"/>
      <c r="O92" s="406"/>
    </row>
    <row r="93" spans="1:16" ht="12" x14ac:dyDescent="0.2">
      <c r="A93" s="406" t="s">
        <v>318</v>
      </c>
      <c r="B93" s="406"/>
      <c r="C93" s="406"/>
      <c r="D93" s="406"/>
      <c r="E93" s="406"/>
      <c r="F93" s="406"/>
      <c r="G93" s="406"/>
      <c r="H93" s="406"/>
      <c r="I93" s="406"/>
      <c r="J93" s="406"/>
      <c r="K93" s="406"/>
      <c r="L93" s="406"/>
      <c r="M93" s="406"/>
      <c r="N93" s="406"/>
      <c r="O93" s="406"/>
    </row>
  </sheetData>
  <mergeCells count="24">
    <mergeCell ref="C87:H87"/>
    <mergeCell ref="C4:I4"/>
    <mergeCell ref="D8:L8"/>
    <mergeCell ref="A78:K78"/>
    <mergeCell ref="A92:O92"/>
    <mergeCell ref="F12:K12"/>
    <mergeCell ref="A9:F9"/>
    <mergeCell ref="J9:M9"/>
    <mergeCell ref="A93:O93"/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81:H81"/>
    <mergeCell ref="C82:H82"/>
    <mergeCell ref="C86:H86"/>
  </mergeCells>
  <conditionalFormatting sqref="D15:G16 F17:G26 A15:B26 A45:G77 A35:A44 F35:G44 I15:J77 A27:G34">
    <cfRule type="cellIs" dxfId="102" priority="30" operator="equal">
      <formula>0</formula>
    </cfRule>
  </conditionalFormatting>
  <conditionalFormatting sqref="N9:O9 H14:H77 K14:P77">
    <cfRule type="cellIs" dxfId="101" priority="29" operator="equal">
      <formula>0</formula>
    </cfRule>
  </conditionalFormatting>
  <conditionalFormatting sqref="A9:F9">
    <cfRule type="containsText" dxfId="100" priority="2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9" priority="26" operator="equal">
      <formula>0</formula>
    </cfRule>
  </conditionalFormatting>
  <conditionalFormatting sqref="O10">
    <cfRule type="cellIs" dxfId="98" priority="25" operator="equal">
      <formula>"20__. gada __. _________"</formula>
    </cfRule>
  </conditionalFormatting>
  <conditionalFormatting sqref="A78:K78">
    <cfRule type="containsText" dxfId="97" priority="24" operator="containsText" text="Tiešās izmaksas kopā, t. sk. darba devēja sociālais nodoklis __.__% ">
      <formula>NOT(ISERROR(SEARCH("Tiešās izmaksas kopā, t. sk. darba devēja sociālais nodoklis __.__% ",A78)))</formula>
    </cfRule>
  </conditionalFormatting>
  <conditionalFormatting sqref="L78:P78">
    <cfRule type="cellIs" dxfId="96" priority="19" operator="equal">
      <formula>0</formula>
    </cfRule>
  </conditionalFormatting>
  <conditionalFormatting sqref="C4:I4">
    <cfRule type="cellIs" dxfId="95" priority="18" operator="equal">
      <formula>0</formula>
    </cfRule>
  </conditionalFormatting>
  <conditionalFormatting sqref="C15:C16 C25">
    <cfRule type="cellIs" dxfId="94" priority="17" operator="equal">
      <formula>0</formula>
    </cfRule>
  </conditionalFormatting>
  <conditionalFormatting sqref="D5:L8">
    <cfRule type="cellIs" dxfId="93" priority="15" operator="equal">
      <formula>0</formula>
    </cfRule>
  </conditionalFormatting>
  <conditionalFormatting sqref="A14:B14 D14:G14">
    <cfRule type="cellIs" dxfId="92" priority="14" operator="equal">
      <formula>0</formula>
    </cfRule>
  </conditionalFormatting>
  <conditionalFormatting sqref="C14">
    <cfRule type="cellIs" dxfId="91" priority="13" operator="equal">
      <formula>0</formula>
    </cfRule>
  </conditionalFormatting>
  <conditionalFormatting sqref="I14:J14">
    <cfRule type="cellIs" dxfId="90" priority="12" operator="equal">
      <formula>0</formula>
    </cfRule>
  </conditionalFormatting>
  <conditionalFormatting sqref="P10">
    <cfRule type="cellIs" dxfId="89" priority="11" operator="equal">
      <formula>"20__. gada __. _________"</formula>
    </cfRule>
  </conditionalFormatting>
  <conditionalFormatting sqref="C86:H86">
    <cfRule type="cellIs" dxfId="88" priority="8" operator="equal">
      <formula>0</formula>
    </cfRule>
  </conditionalFormatting>
  <conditionalFormatting sqref="C81:H81">
    <cfRule type="cellIs" dxfId="87" priority="7" operator="equal">
      <formula>0</formula>
    </cfRule>
  </conditionalFormatting>
  <conditionalFormatting sqref="C86:H86 C89 C81:H81">
    <cfRule type="cellIs" dxfId="86" priority="6" operator="equal">
      <formula>0</formula>
    </cfRule>
  </conditionalFormatting>
  <conditionalFormatting sqref="D1">
    <cfRule type="cellIs" dxfId="85" priority="5" operator="equal">
      <formula>0</formula>
    </cfRule>
  </conditionalFormatting>
  <conditionalFormatting sqref="C17">
    <cfRule type="cellIs" dxfId="84" priority="4" operator="equal">
      <formula>0</formula>
    </cfRule>
  </conditionalFormatting>
  <conditionalFormatting sqref="B35:B44">
    <cfRule type="cellIs" dxfId="83" priority="3" operator="equal">
      <formula>0</formula>
    </cfRule>
  </conditionalFormatting>
  <conditionalFormatting sqref="C43">
    <cfRule type="cellIs" dxfId="82" priority="2" operator="equal">
      <formula>0</formula>
    </cfRule>
  </conditionalFormatting>
  <conditionalFormatting sqref="C35">
    <cfRule type="cellIs" dxfId="8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rowBreaks count="1" manualBreakCount="1">
    <brk id="76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0B610FE1-6F17-46AF-982B-27B20E80701D}">
            <xm:f>NOT(ISERROR(SEARCH("Tāme sastādīta ____. gada ___. ______________",A84)))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A84</xm:sqref>
        </x14:conditionalFormatting>
        <x14:conditionalFormatting xmlns:xm="http://schemas.microsoft.com/office/excel/2006/main">
          <x14:cfRule type="containsText" priority="9" operator="containsText" id="{F3EAEDA8-031E-4BF8-B71A-4A6D64C3BFEB}">
            <xm:f>NOT(ISERROR(SEARCH("Sertifikāta Nr. _________________________________",A89)))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>
    <pageSetUpPr fitToPage="1"/>
  </sheetPr>
  <dimension ref="A1:P35"/>
  <sheetViews>
    <sheetView view="pageBreakPreview" zoomScaleNormal="100" zoomScaleSheetLayoutView="100" zoomScalePageLayoutView="85" workbookViewId="0">
      <selection activeCell="A21" sqref="A21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a'!A19</f>
        <v>5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3"/>
      <c r="B2" s="23"/>
      <c r="C2" s="407" t="s">
        <v>206</v>
      </c>
      <c r="D2" s="407"/>
      <c r="E2" s="407"/>
      <c r="F2" s="407"/>
      <c r="G2" s="407"/>
      <c r="H2" s="407"/>
      <c r="I2" s="407"/>
      <c r="J2" s="23"/>
    </row>
    <row r="3" spans="1:16" x14ac:dyDescent="0.2">
      <c r="A3" s="172"/>
      <c r="B3" s="172"/>
      <c r="C3" s="374" t="s">
        <v>17</v>
      </c>
      <c r="D3" s="374"/>
      <c r="E3" s="374"/>
      <c r="F3" s="374"/>
      <c r="G3" s="374"/>
      <c r="H3" s="374"/>
      <c r="I3" s="374"/>
      <c r="J3" s="172"/>
    </row>
    <row r="4" spans="1:16" x14ac:dyDescent="0.2">
      <c r="A4" s="172"/>
      <c r="B4" s="172"/>
      <c r="C4" s="422" t="s">
        <v>52</v>
      </c>
      <c r="D4" s="422"/>
      <c r="E4" s="422"/>
      <c r="F4" s="422"/>
      <c r="G4" s="422"/>
      <c r="H4" s="422"/>
      <c r="I4" s="422"/>
      <c r="J4" s="172"/>
    </row>
    <row r="5" spans="1:16" x14ac:dyDescent="0.2">
      <c r="A5" s="23"/>
      <c r="B5" s="23"/>
      <c r="C5" s="27" t="s">
        <v>5</v>
      </c>
      <c r="D5" s="408" t="str">
        <f>'Kops a'!D6</f>
        <v>Daudzdzīvokļu dzīvojamā ēka</v>
      </c>
      <c r="E5" s="408"/>
      <c r="F5" s="408"/>
      <c r="G5" s="408"/>
      <c r="H5" s="408"/>
      <c r="I5" s="408"/>
      <c r="J5" s="408"/>
      <c r="K5" s="408"/>
      <c r="L5" s="408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408" t="str">
        <f>'Kops a'!D7</f>
        <v>Daudzdzīvokļu dzīvojamās ēkas energoefektivitātes paaugstināšanas pasākumi</v>
      </c>
      <c r="E6" s="408"/>
      <c r="F6" s="408"/>
      <c r="G6" s="408"/>
      <c r="H6" s="408"/>
      <c r="I6" s="408"/>
      <c r="J6" s="408"/>
      <c r="K6" s="408"/>
      <c r="L6" s="40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408" t="str">
        <f>'Kops a'!D8</f>
        <v>Rojas iela 2, Liepāja</v>
      </c>
      <c r="E7" s="408"/>
      <c r="F7" s="408"/>
      <c r="G7" s="408"/>
      <c r="H7" s="408"/>
      <c r="I7" s="408"/>
      <c r="J7" s="408"/>
      <c r="K7" s="408"/>
      <c r="L7" s="408"/>
      <c r="M7" s="17"/>
      <c r="N7" s="17"/>
      <c r="O7" s="17"/>
      <c r="P7" s="17"/>
    </row>
    <row r="8" spans="1:16" x14ac:dyDescent="0.2">
      <c r="A8" s="23"/>
      <c r="B8" s="23"/>
      <c r="C8" s="171" t="s">
        <v>20</v>
      </c>
      <c r="D8" s="408" t="str">
        <f>'Kops a'!D9</f>
        <v>WS-54-15</v>
      </c>
      <c r="E8" s="408"/>
      <c r="F8" s="408"/>
      <c r="G8" s="408"/>
      <c r="H8" s="408"/>
      <c r="I8" s="408"/>
      <c r="J8" s="408"/>
      <c r="K8" s="408"/>
      <c r="L8" s="408"/>
      <c r="M8" s="17"/>
      <c r="N8" s="17"/>
      <c r="O8" s="17"/>
      <c r="P8" s="17"/>
    </row>
    <row r="9" spans="1:16" ht="11.25" customHeight="1" x14ac:dyDescent="0.2">
      <c r="A9" s="427" t="s">
        <v>513</v>
      </c>
      <c r="B9" s="427"/>
      <c r="C9" s="427"/>
      <c r="D9" s="427"/>
      <c r="E9" s="427"/>
      <c r="F9" s="427"/>
      <c r="G9" s="31"/>
      <c r="H9" s="31"/>
      <c r="I9" s="31"/>
      <c r="J9" s="428" t="s">
        <v>39</v>
      </c>
      <c r="K9" s="428"/>
      <c r="L9" s="428"/>
      <c r="M9" s="428"/>
      <c r="N9" s="409">
        <f>P20</f>
        <v>0</v>
      </c>
      <c r="O9" s="409"/>
      <c r="P9" s="31"/>
    </row>
    <row r="10" spans="1:16" x14ac:dyDescent="0.2">
      <c r="A10" s="32"/>
      <c r="B10" s="33"/>
      <c r="C10" s="171"/>
      <c r="D10" s="23"/>
      <c r="E10" s="23"/>
      <c r="F10" s="23"/>
      <c r="G10" s="23"/>
      <c r="H10" s="23"/>
      <c r="I10" s="23"/>
      <c r="J10" s="23"/>
      <c r="K10" s="23"/>
      <c r="L10" s="23"/>
      <c r="M10" s="23"/>
      <c r="O10" s="93"/>
      <c r="P10" s="92" t="str">
        <f>A26</f>
        <v>Tāme sastādīta 2021. gada</v>
      </c>
    </row>
    <row r="11" spans="1:16" ht="12" thickBot="1" x14ac:dyDescent="0.25">
      <c r="A11" s="32"/>
      <c r="B11" s="33"/>
      <c r="C11" s="171"/>
      <c r="D11" s="23"/>
      <c r="E11" s="23"/>
      <c r="F11" s="23"/>
      <c r="G11" s="23"/>
      <c r="H11" s="23"/>
      <c r="I11" s="23"/>
      <c r="J11" s="23"/>
      <c r="K11" s="23"/>
      <c r="L11" s="27"/>
      <c r="M11" s="27"/>
      <c r="N11" s="35"/>
      <c r="O11" s="26"/>
      <c r="P11" s="23"/>
    </row>
    <row r="12" spans="1:16" x14ac:dyDescent="0.2">
      <c r="A12" s="368" t="s">
        <v>23</v>
      </c>
      <c r="B12" s="411" t="s">
        <v>40</v>
      </c>
      <c r="C12" s="413" t="s">
        <v>41</v>
      </c>
      <c r="D12" s="415" t="s">
        <v>42</v>
      </c>
      <c r="E12" s="417" t="s">
        <v>43</v>
      </c>
      <c r="F12" s="419" t="s">
        <v>44</v>
      </c>
      <c r="G12" s="413"/>
      <c r="H12" s="413"/>
      <c r="I12" s="413"/>
      <c r="J12" s="413"/>
      <c r="K12" s="420"/>
      <c r="L12" s="419" t="s">
        <v>45</v>
      </c>
      <c r="M12" s="413"/>
      <c r="N12" s="413"/>
      <c r="O12" s="413"/>
      <c r="P12" s="420"/>
    </row>
    <row r="13" spans="1:16" ht="115.5" customHeight="1" thickBot="1" x14ac:dyDescent="0.25">
      <c r="A13" s="410"/>
      <c r="B13" s="412"/>
      <c r="C13" s="414"/>
      <c r="D13" s="416"/>
      <c r="E13" s="418"/>
      <c r="F13" s="173" t="s">
        <v>46</v>
      </c>
      <c r="G13" s="174" t="s">
        <v>47</v>
      </c>
      <c r="H13" s="174" t="s">
        <v>48</v>
      </c>
      <c r="I13" s="174" t="s">
        <v>49</v>
      </c>
      <c r="J13" s="174" t="s">
        <v>50</v>
      </c>
      <c r="K13" s="175" t="s">
        <v>51</v>
      </c>
      <c r="L13" s="173" t="s">
        <v>46</v>
      </c>
      <c r="M13" s="174" t="s">
        <v>48</v>
      </c>
      <c r="N13" s="174" t="s">
        <v>49</v>
      </c>
      <c r="O13" s="174" t="s">
        <v>50</v>
      </c>
      <c r="P13" s="175" t="s">
        <v>51</v>
      </c>
    </row>
    <row r="14" spans="1:16" x14ac:dyDescent="0.2">
      <c r="A14" s="64">
        <v>1</v>
      </c>
      <c r="B14" s="65" t="s">
        <v>65</v>
      </c>
      <c r="C14" s="66" t="s">
        <v>207</v>
      </c>
      <c r="D14" s="129" t="s">
        <v>157</v>
      </c>
      <c r="E14" s="69">
        <v>2.7500000000000004</v>
      </c>
      <c r="F14" s="70"/>
      <c r="G14" s="67"/>
      <c r="H14" s="67">
        <f>ROUND(F14*G14,2)</f>
        <v>0</v>
      </c>
      <c r="I14" s="67"/>
      <c r="J14" s="67"/>
      <c r="K14" s="256">
        <f>SUM(H14:J14)</f>
        <v>0</v>
      </c>
      <c r="L14" s="281">
        <f>ROUND(E14*F14,2)</f>
        <v>0</v>
      </c>
      <c r="M14" s="282">
        <f>ROUND(H14*E14,2)</f>
        <v>0</v>
      </c>
      <c r="N14" s="282">
        <f>ROUND(I14*E14,2)</f>
        <v>0</v>
      </c>
      <c r="O14" s="282">
        <f>ROUND(J14*E14,2)</f>
        <v>0</v>
      </c>
      <c r="P14" s="283">
        <f>SUM(M14:O14)</f>
        <v>0</v>
      </c>
    </row>
    <row r="15" spans="1:16" x14ac:dyDescent="0.2">
      <c r="A15" s="38">
        <v>2</v>
      </c>
      <c r="B15" s="39" t="s">
        <v>65</v>
      </c>
      <c r="C15" s="47" t="s">
        <v>208</v>
      </c>
      <c r="D15" s="25" t="s">
        <v>73</v>
      </c>
      <c r="E15" s="69">
        <v>644</v>
      </c>
      <c r="F15" s="70"/>
      <c r="G15" s="67"/>
      <c r="H15" s="48">
        <f t="shared" ref="H15:H19" si="0">ROUND(F15*G15,2)</f>
        <v>0</v>
      </c>
      <c r="I15" s="67"/>
      <c r="J15" s="67"/>
      <c r="K15" s="258">
        <f t="shared" ref="K15:K19" si="1">SUM(H15:J15)</f>
        <v>0</v>
      </c>
      <c r="L15" s="50">
        <f t="shared" ref="L15:L19" si="2">ROUND(E15*F15,2)</f>
        <v>0</v>
      </c>
      <c r="M15" s="48">
        <f t="shared" ref="M15:M19" si="3">ROUND(H15*E15,2)</f>
        <v>0</v>
      </c>
      <c r="N15" s="48">
        <f t="shared" ref="N15:N19" si="4">ROUND(I15*E15,2)</f>
        <v>0</v>
      </c>
      <c r="O15" s="48">
        <f t="shared" ref="O15:O19" si="5">ROUND(J15*E15,2)</f>
        <v>0</v>
      </c>
      <c r="P15" s="258">
        <f t="shared" ref="P15:P19" si="6">SUM(M15:O15)</f>
        <v>0</v>
      </c>
    </row>
    <row r="16" spans="1:16" x14ac:dyDescent="0.2">
      <c r="A16" s="38" t="s">
        <v>68</v>
      </c>
      <c r="B16" s="39"/>
      <c r="C16" s="47" t="s">
        <v>82</v>
      </c>
      <c r="D16" s="25" t="s">
        <v>83</v>
      </c>
      <c r="E16" s="69">
        <v>64.400000000000006</v>
      </c>
      <c r="F16" s="70"/>
      <c r="G16" s="67"/>
      <c r="H16" s="48">
        <f t="shared" si="0"/>
        <v>0</v>
      </c>
      <c r="I16" s="67"/>
      <c r="J16" s="67"/>
      <c r="K16" s="258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258">
        <f t="shared" si="6"/>
        <v>0</v>
      </c>
    </row>
    <row r="17" spans="1:16" ht="45" x14ac:dyDescent="0.2">
      <c r="A17" s="38">
        <v>3</v>
      </c>
      <c r="B17" s="39" t="s">
        <v>209</v>
      </c>
      <c r="C17" s="47" t="s">
        <v>210</v>
      </c>
      <c r="D17" s="25" t="s">
        <v>73</v>
      </c>
      <c r="E17" s="69">
        <v>644</v>
      </c>
      <c r="F17" s="70"/>
      <c r="G17" s="67"/>
      <c r="H17" s="48">
        <f t="shared" si="0"/>
        <v>0</v>
      </c>
      <c r="I17" s="67"/>
      <c r="J17" s="67"/>
      <c r="K17" s="258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258">
        <f t="shared" si="6"/>
        <v>0</v>
      </c>
    </row>
    <row r="18" spans="1:16" x14ac:dyDescent="0.2">
      <c r="A18" s="38" t="s">
        <v>68</v>
      </c>
      <c r="B18" s="39"/>
      <c r="C18" s="47" t="s">
        <v>211</v>
      </c>
      <c r="D18" s="25" t="s">
        <v>73</v>
      </c>
      <c r="E18" s="69">
        <v>676.2</v>
      </c>
      <c r="F18" s="70"/>
      <c r="G18" s="67"/>
      <c r="H18" s="48">
        <f t="shared" si="0"/>
        <v>0</v>
      </c>
      <c r="I18" s="67"/>
      <c r="J18" s="67"/>
      <c r="K18" s="258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258">
        <f t="shared" si="6"/>
        <v>0</v>
      </c>
    </row>
    <row r="19" spans="1:16" ht="12" thickBot="1" x14ac:dyDescent="0.25">
      <c r="A19" s="38" t="s">
        <v>68</v>
      </c>
      <c r="B19" s="39"/>
      <c r="C19" s="47" t="s">
        <v>84</v>
      </c>
      <c r="D19" s="25" t="s">
        <v>83</v>
      </c>
      <c r="E19" s="69">
        <v>3864</v>
      </c>
      <c r="F19" s="70"/>
      <c r="G19" s="67"/>
      <c r="H19" s="48">
        <f t="shared" si="0"/>
        <v>0</v>
      </c>
      <c r="I19" s="67"/>
      <c r="J19" s="67"/>
      <c r="K19" s="258">
        <f t="shared" si="1"/>
        <v>0</v>
      </c>
      <c r="L19" s="290">
        <f t="shared" si="2"/>
        <v>0</v>
      </c>
      <c r="M19" s="291">
        <f t="shared" si="3"/>
        <v>0</v>
      </c>
      <c r="N19" s="291">
        <f t="shared" si="4"/>
        <v>0</v>
      </c>
      <c r="O19" s="291">
        <f t="shared" si="5"/>
        <v>0</v>
      </c>
      <c r="P19" s="293">
        <f t="shared" si="6"/>
        <v>0</v>
      </c>
    </row>
    <row r="20" spans="1:16" ht="12" thickBot="1" x14ac:dyDescent="0.25">
      <c r="A20" s="423" t="s">
        <v>514</v>
      </c>
      <c r="B20" s="424"/>
      <c r="C20" s="424"/>
      <c r="D20" s="424"/>
      <c r="E20" s="424"/>
      <c r="F20" s="424"/>
      <c r="G20" s="424"/>
      <c r="H20" s="424"/>
      <c r="I20" s="424"/>
      <c r="J20" s="424"/>
      <c r="K20" s="429"/>
      <c r="L20" s="271">
        <f>SUM(L14:L19)</f>
        <v>0</v>
      </c>
      <c r="M20" s="272">
        <f>SUM(M14:M19)</f>
        <v>0</v>
      </c>
      <c r="N20" s="272">
        <f>SUM(N14:N19)</f>
        <v>0</v>
      </c>
      <c r="O20" s="272">
        <f>SUM(O14:O19)</f>
        <v>0</v>
      </c>
      <c r="P20" s="273">
        <f>SUM(P14:P19)</f>
        <v>0</v>
      </c>
    </row>
    <row r="21" spans="1:16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2">
      <c r="A23" s="1" t="s">
        <v>14</v>
      </c>
      <c r="B23" s="17"/>
      <c r="C23" s="421">
        <f>'Kops a'!C32:H32</f>
        <v>0</v>
      </c>
      <c r="D23" s="421"/>
      <c r="E23" s="421"/>
      <c r="F23" s="421"/>
      <c r="G23" s="421"/>
      <c r="H23" s="421"/>
      <c r="I23" s="17"/>
      <c r="J23" s="17"/>
      <c r="K23" s="17"/>
      <c r="L23" s="17"/>
      <c r="M23" s="17"/>
      <c r="N23" s="17"/>
      <c r="O23" s="17"/>
      <c r="P23" s="17"/>
    </row>
    <row r="24" spans="1:16" x14ac:dyDescent="0.2">
      <c r="A24" s="17"/>
      <c r="B24" s="17"/>
      <c r="C24" s="331" t="s">
        <v>15</v>
      </c>
      <c r="D24" s="331"/>
      <c r="E24" s="331"/>
      <c r="F24" s="331"/>
      <c r="G24" s="331"/>
      <c r="H24" s="331"/>
      <c r="I24" s="17"/>
      <c r="J24" s="17"/>
      <c r="K24" s="17"/>
      <c r="L24" s="17"/>
      <c r="M24" s="17"/>
      <c r="N24" s="17"/>
      <c r="O24" s="17"/>
      <c r="P24" s="17"/>
    </row>
    <row r="25" spans="1:16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">
      <c r="A26" s="90" t="str">
        <f>'Kops a'!A35</f>
        <v>Tāme sastādīta 2021. gada</v>
      </c>
      <c r="B26" s="91"/>
      <c r="C26" s="91"/>
      <c r="D26" s="91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" t="s">
        <v>37</v>
      </c>
      <c r="B28" s="17"/>
      <c r="C28" s="421">
        <f>'Kops a'!C37:H37</f>
        <v>0</v>
      </c>
      <c r="D28" s="421"/>
      <c r="E28" s="421"/>
      <c r="F28" s="421"/>
      <c r="G28" s="421"/>
      <c r="H28" s="421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331" t="s">
        <v>15</v>
      </c>
      <c r="D29" s="331"/>
      <c r="E29" s="331"/>
      <c r="F29" s="331"/>
      <c r="G29" s="331"/>
      <c r="H29" s="331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90" t="s">
        <v>54</v>
      </c>
      <c r="B31" s="91"/>
      <c r="C31" s="94">
        <f>'Kops a'!C40</f>
        <v>0</v>
      </c>
      <c r="D31" s="51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5" ht="12" x14ac:dyDescent="0.2">
      <c r="A33" s="264" t="s">
        <v>316</v>
      </c>
      <c r="B33" s="265"/>
      <c r="C33" s="264"/>
      <c r="D33" s="264"/>
      <c r="E33" s="266"/>
      <c r="F33" s="267"/>
      <c r="G33" s="266"/>
      <c r="H33" s="268"/>
      <c r="I33" s="268"/>
      <c r="J33" s="269"/>
      <c r="K33" s="270"/>
      <c r="L33" s="270"/>
      <c r="M33" s="270"/>
      <c r="N33" s="270"/>
      <c r="O33" s="270"/>
    </row>
    <row r="34" spans="1:15" ht="12" x14ac:dyDescent="0.2">
      <c r="A34" s="406" t="s">
        <v>317</v>
      </c>
      <c r="B34" s="406"/>
      <c r="C34" s="406"/>
      <c r="D34" s="406"/>
      <c r="E34" s="406"/>
      <c r="F34" s="406"/>
      <c r="G34" s="406"/>
      <c r="H34" s="406"/>
      <c r="I34" s="406"/>
      <c r="J34" s="406"/>
      <c r="K34" s="406"/>
      <c r="L34" s="406"/>
      <c r="M34" s="406"/>
      <c r="N34" s="406"/>
      <c r="O34" s="406"/>
    </row>
    <row r="35" spans="1:15" ht="12" x14ac:dyDescent="0.2">
      <c r="A35" s="406" t="s">
        <v>318</v>
      </c>
      <c r="B35" s="406"/>
      <c r="C35" s="406"/>
      <c r="D35" s="406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</row>
  </sheetData>
  <mergeCells count="24">
    <mergeCell ref="C29:H29"/>
    <mergeCell ref="C4:I4"/>
    <mergeCell ref="D8:L8"/>
    <mergeCell ref="A20:K20"/>
    <mergeCell ref="A34:O34"/>
    <mergeCell ref="F12:K12"/>
    <mergeCell ref="A9:F9"/>
    <mergeCell ref="J9:M9"/>
    <mergeCell ref="A35:O35"/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23:H23"/>
    <mergeCell ref="C24:H24"/>
    <mergeCell ref="C28:H28"/>
  </mergeCells>
  <conditionalFormatting sqref="A15:B19 I15:J19 D15:G19">
    <cfRule type="cellIs" dxfId="78" priority="26" operator="equal">
      <formula>0</formula>
    </cfRule>
  </conditionalFormatting>
  <conditionalFormatting sqref="N9:O9">
    <cfRule type="cellIs" dxfId="77" priority="25" operator="equal">
      <formula>0</formula>
    </cfRule>
  </conditionalFormatting>
  <conditionalFormatting sqref="A9:F9">
    <cfRule type="containsText" dxfId="76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5" priority="22" operator="equal">
      <formula>0</formula>
    </cfRule>
  </conditionalFormatting>
  <conditionalFormatting sqref="O10">
    <cfRule type="cellIs" dxfId="74" priority="21" operator="equal">
      <formula>"20__. gada __. _________"</formula>
    </cfRule>
  </conditionalFormatting>
  <conditionalFormatting sqref="A20:K20">
    <cfRule type="containsText" dxfId="73" priority="20" operator="containsText" text="Tiešās izmaksas kopā, t. sk. darba devēja sociālais nodoklis __.__% ">
      <formula>NOT(ISERROR(SEARCH("Tiešās izmaksas kopā, t. sk. darba devēja sociālais nodoklis __.__% ",A20)))</formula>
    </cfRule>
  </conditionalFormatting>
  <conditionalFormatting sqref="H14:H19 K14:P19 L20:P20">
    <cfRule type="cellIs" dxfId="72" priority="15" operator="equal">
      <formula>0</formula>
    </cfRule>
  </conditionalFormatting>
  <conditionalFormatting sqref="C4:I4">
    <cfRule type="cellIs" dxfId="71" priority="14" operator="equal">
      <formula>0</formula>
    </cfRule>
  </conditionalFormatting>
  <conditionalFormatting sqref="C15:C19">
    <cfRule type="cellIs" dxfId="70" priority="13" operator="equal">
      <formula>0</formula>
    </cfRule>
  </conditionalFormatting>
  <conditionalFormatting sqref="D5:L8">
    <cfRule type="cellIs" dxfId="69" priority="11" operator="equal">
      <formula>0</formula>
    </cfRule>
  </conditionalFormatting>
  <conditionalFormatting sqref="A14:B14 D14:G14">
    <cfRule type="cellIs" dxfId="68" priority="10" operator="equal">
      <formula>0</formula>
    </cfRule>
  </conditionalFormatting>
  <conditionalFormatting sqref="C14">
    <cfRule type="cellIs" dxfId="67" priority="9" operator="equal">
      <formula>0</formula>
    </cfRule>
  </conditionalFormatting>
  <conditionalFormatting sqref="I14:J14">
    <cfRule type="cellIs" dxfId="66" priority="8" operator="equal">
      <formula>0</formula>
    </cfRule>
  </conditionalFormatting>
  <conditionalFormatting sqref="P10">
    <cfRule type="cellIs" dxfId="65" priority="7" operator="equal">
      <formula>"20__. gada __. _________"</formula>
    </cfRule>
  </conditionalFormatting>
  <conditionalFormatting sqref="C28:H28">
    <cfRule type="cellIs" dxfId="64" priority="4" operator="equal">
      <formula>0</formula>
    </cfRule>
  </conditionalFormatting>
  <conditionalFormatting sqref="C23:H23">
    <cfRule type="cellIs" dxfId="63" priority="3" operator="equal">
      <formula>0</formula>
    </cfRule>
  </conditionalFormatting>
  <conditionalFormatting sqref="C28:H28 C31 C23:H23">
    <cfRule type="cellIs" dxfId="62" priority="2" operator="equal">
      <formula>0</formula>
    </cfRule>
  </conditionalFormatting>
  <conditionalFormatting sqref="D1">
    <cfRule type="cellIs" dxfId="6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C7EA987-A541-4A14-8BBA-80430C8D8797}">
            <xm:f>NOT(ISERROR(SEARCH("Tāme sastādīta ____. gada ___. ______________",A26)))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5" operator="containsText" id="{ACDA78AF-73B6-4D16-9157-A1B6B42F0CA3}">
            <xm:f>NOT(ISERROR(SEARCH("Sertifikāta Nr. _________________________________",A31)))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>
    <tabColor rgb="FFFFFF00"/>
    <pageSetUpPr fitToPage="1"/>
  </sheetPr>
  <dimension ref="A1:P45"/>
  <sheetViews>
    <sheetView view="pageBreakPreview" topLeftCell="A13" zoomScaleNormal="100" zoomScaleSheetLayoutView="100" zoomScalePageLayoutView="85" workbookViewId="0">
      <selection activeCell="A31" sqref="A31"/>
    </sheetView>
  </sheetViews>
  <sheetFormatPr defaultColWidth="9.140625" defaultRowHeight="11.25" x14ac:dyDescent="0.2"/>
  <cols>
    <col min="1" max="1" width="4.5703125" style="179" customWidth="1"/>
    <col min="2" max="2" width="5.28515625" style="179" customWidth="1"/>
    <col min="3" max="3" width="38.42578125" style="179" customWidth="1"/>
    <col min="4" max="4" width="5.85546875" style="179" customWidth="1"/>
    <col min="5" max="5" width="8.7109375" style="179" customWidth="1"/>
    <col min="6" max="6" width="5.42578125" style="179" customWidth="1"/>
    <col min="7" max="7" width="4.85546875" style="179" customWidth="1"/>
    <col min="8" max="10" width="6.7109375" style="179" customWidth="1"/>
    <col min="11" max="11" width="7" style="179" customWidth="1"/>
    <col min="12" max="15" width="7.7109375" style="179" customWidth="1"/>
    <col min="16" max="16" width="9" style="179" customWidth="1"/>
    <col min="17" max="16384" width="9.140625" style="179"/>
  </cols>
  <sheetData>
    <row r="1" spans="1:16" x14ac:dyDescent="0.2">
      <c r="A1" s="176"/>
      <c r="B1" s="176"/>
      <c r="C1" s="177" t="s">
        <v>38</v>
      </c>
      <c r="D1" s="178">
        <f>'Kops a'!A20</f>
        <v>6</v>
      </c>
      <c r="E1" s="176"/>
      <c r="F1" s="176"/>
      <c r="G1" s="176"/>
      <c r="H1" s="176"/>
      <c r="I1" s="176"/>
      <c r="J1" s="176"/>
      <c r="N1" s="180"/>
      <c r="O1" s="177"/>
      <c r="P1" s="181"/>
    </row>
    <row r="2" spans="1:16" x14ac:dyDescent="0.2">
      <c r="A2" s="176"/>
      <c r="B2" s="176"/>
      <c r="C2" s="386" t="s">
        <v>212</v>
      </c>
      <c r="D2" s="386"/>
      <c r="E2" s="386"/>
      <c r="F2" s="386"/>
      <c r="G2" s="386"/>
      <c r="H2" s="386"/>
      <c r="I2" s="386"/>
      <c r="J2" s="176"/>
    </row>
    <row r="3" spans="1:16" x14ac:dyDescent="0.2">
      <c r="A3" s="212"/>
      <c r="B3" s="212"/>
      <c r="C3" s="387" t="s">
        <v>17</v>
      </c>
      <c r="D3" s="387"/>
      <c r="E3" s="387"/>
      <c r="F3" s="387"/>
      <c r="G3" s="387"/>
      <c r="H3" s="387"/>
      <c r="I3" s="387"/>
      <c r="J3" s="212"/>
    </row>
    <row r="4" spans="1:16" x14ac:dyDescent="0.2">
      <c r="A4" s="212"/>
      <c r="B4" s="212"/>
      <c r="C4" s="388" t="s">
        <v>52</v>
      </c>
      <c r="D4" s="388"/>
      <c r="E4" s="388"/>
      <c r="F4" s="388"/>
      <c r="G4" s="388"/>
      <c r="H4" s="388"/>
      <c r="I4" s="388"/>
      <c r="J4" s="212"/>
    </row>
    <row r="5" spans="1:16" x14ac:dyDescent="0.2">
      <c r="A5" s="176"/>
      <c r="B5" s="176"/>
      <c r="C5" s="177" t="s">
        <v>5</v>
      </c>
      <c r="D5" s="377" t="str">
        <f>'Kops a'!D6</f>
        <v>Daudzdzīvokļu dzīvojamā ēka</v>
      </c>
      <c r="E5" s="377"/>
      <c r="F5" s="377"/>
      <c r="G5" s="377"/>
      <c r="H5" s="377"/>
      <c r="I5" s="377"/>
      <c r="J5" s="377"/>
      <c r="K5" s="377"/>
      <c r="L5" s="377"/>
      <c r="M5" s="182"/>
      <c r="N5" s="182"/>
      <c r="O5" s="182"/>
      <c r="P5" s="182"/>
    </row>
    <row r="6" spans="1:16" x14ac:dyDescent="0.2">
      <c r="A6" s="176"/>
      <c r="B6" s="176"/>
      <c r="C6" s="177" t="s">
        <v>6</v>
      </c>
      <c r="D6" s="377" t="str">
        <f>'Kops a'!D7</f>
        <v>Daudzdzīvokļu dzīvojamās ēkas energoefektivitātes paaugstināšanas pasākumi</v>
      </c>
      <c r="E6" s="377"/>
      <c r="F6" s="377"/>
      <c r="G6" s="377"/>
      <c r="H6" s="377"/>
      <c r="I6" s="377"/>
      <c r="J6" s="377"/>
      <c r="K6" s="377"/>
      <c r="L6" s="377"/>
      <c r="M6" s="182"/>
      <c r="N6" s="182"/>
      <c r="O6" s="182"/>
      <c r="P6" s="182"/>
    </row>
    <row r="7" spans="1:16" x14ac:dyDescent="0.2">
      <c r="A7" s="176"/>
      <c r="B7" s="176"/>
      <c r="C7" s="177" t="s">
        <v>7</v>
      </c>
      <c r="D7" s="377" t="str">
        <f>'Kops a'!D8</f>
        <v>Rojas iela 2, Liepāja</v>
      </c>
      <c r="E7" s="377"/>
      <c r="F7" s="377"/>
      <c r="G7" s="377"/>
      <c r="H7" s="377"/>
      <c r="I7" s="377"/>
      <c r="J7" s="377"/>
      <c r="K7" s="377"/>
      <c r="L7" s="377"/>
      <c r="M7" s="182"/>
      <c r="N7" s="182"/>
      <c r="O7" s="182"/>
      <c r="P7" s="182"/>
    </row>
    <row r="8" spans="1:16" x14ac:dyDescent="0.2">
      <c r="A8" s="176"/>
      <c r="B8" s="176"/>
      <c r="C8" s="183" t="s">
        <v>20</v>
      </c>
      <c r="D8" s="377" t="str">
        <f>'Kops a'!D9</f>
        <v>WS-54-15</v>
      </c>
      <c r="E8" s="377"/>
      <c r="F8" s="377"/>
      <c r="G8" s="377"/>
      <c r="H8" s="377"/>
      <c r="I8" s="377"/>
      <c r="J8" s="377"/>
      <c r="K8" s="377"/>
      <c r="L8" s="377"/>
      <c r="M8" s="182"/>
      <c r="N8" s="182"/>
      <c r="O8" s="182"/>
      <c r="P8" s="182"/>
    </row>
    <row r="9" spans="1:16" ht="11.25" customHeight="1" x14ac:dyDescent="0.2">
      <c r="A9" s="389" t="s">
        <v>513</v>
      </c>
      <c r="B9" s="389"/>
      <c r="C9" s="389"/>
      <c r="D9" s="389"/>
      <c r="E9" s="389"/>
      <c r="F9" s="389"/>
      <c r="G9" s="184"/>
      <c r="H9" s="184"/>
      <c r="I9" s="184"/>
      <c r="J9" s="393" t="s">
        <v>39</v>
      </c>
      <c r="K9" s="393"/>
      <c r="L9" s="393"/>
      <c r="M9" s="393"/>
      <c r="N9" s="401">
        <f>P30</f>
        <v>0</v>
      </c>
      <c r="O9" s="401"/>
      <c r="P9" s="184"/>
    </row>
    <row r="10" spans="1:16" x14ac:dyDescent="0.2">
      <c r="A10" s="185"/>
      <c r="B10" s="186"/>
      <c r="C10" s="183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O10" s="229"/>
      <c r="P10" s="188" t="str">
        <f>A36</f>
        <v>Tāme sastādīta 2021. gada</v>
      </c>
    </row>
    <row r="11" spans="1:16" ht="12" thickBot="1" x14ac:dyDescent="0.25">
      <c r="A11" s="185"/>
      <c r="B11" s="186"/>
      <c r="C11" s="183"/>
      <c r="D11" s="176"/>
      <c r="E11" s="176"/>
      <c r="F11" s="176"/>
      <c r="G11" s="176"/>
      <c r="H11" s="176"/>
      <c r="I11" s="176"/>
      <c r="J11" s="176"/>
      <c r="K11" s="176"/>
      <c r="L11" s="177"/>
      <c r="M11" s="177"/>
      <c r="N11" s="189"/>
      <c r="O11" s="180"/>
      <c r="P11" s="176"/>
    </row>
    <row r="12" spans="1:16" x14ac:dyDescent="0.2">
      <c r="A12" s="394" t="s">
        <v>23</v>
      </c>
      <c r="B12" s="396" t="s">
        <v>40</v>
      </c>
      <c r="C12" s="391" t="s">
        <v>41</v>
      </c>
      <c r="D12" s="399" t="s">
        <v>42</v>
      </c>
      <c r="E12" s="378" t="s">
        <v>43</v>
      </c>
      <c r="F12" s="390" t="s">
        <v>44</v>
      </c>
      <c r="G12" s="391"/>
      <c r="H12" s="391"/>
      <c r="I12" s="391"/>
      <c r="J12" s="391"/>
      <c r="K12" s="392"/>
      <c r="L12" s="390" t="s">
        <v>45</v>
      </c>
      <c r="M12" s="391"/>
      <c r="N12" s="391"/>
      <c r="O12" s="391"/>
      <c r="P12" s="392"/>
    </row>
    <row r="13" spans="1:16" ht="126.75" customHeight="1" thickBot="1" x14ac:dyDescent="0.25">
      <c r="A13" s="395"/>
      <c r="B13" s="397"/>
      <c r="C13" s="398"/>
      <c r="D13" s="400"/>
      <c r="E13" s="379"/>
      <c r="F13" s="190" t="s">
        <v>46</v>
      </c>
      <c r="G13" s="191" t="s">
        <v>47</v>
      </c>
      <c r="H13" s="191" t="s">
        <v>48</v>
      </c>
      <c r="I13" s="191" t="s">
        <v>49</v>
      </c>
      <c r="J13" s="191" t="s">
        <v>50</v>
      </c>
      <c r="K13" s="213" t="s">
        <v>51</v>
      </c>
      <c r="L13" s="190" t="s">
        <v>46</v>
      </c>
      <c r="M13" s="191" t="s">
        <v>48</v>
      </c>
      <c r="N13" s="191" t="s">
        <v>49</v>
      </c>
      <c r="O13" s="191" t="s">
        <v>50</v>
      </c>
      <c r="P13" s="213" t="s">
        <v>51</v>
      </c>
    </row>
    <row r="14" spans="1:16" x14ac:dyDescent="0.2">
      <c r="A14" s="192">
        <v>1</v>
      </c>
      <c r="B14" s="193" t="s">
        <v>65</v>
      </c>
      <c r="C14" s="194" t="s">
        <v>213</v>
      </c>
      <c r="D14" s="214" t="s">
        <v>73</v>
      </c>
      <c r="E14" s="195">
        <v>621.4</v>
      </c>
      <c r="F14" s="196"/>
      <c r="G14" s="197"/>
      <c r="H14" s="197">
        <f>ROUND(F14*G14,2)</f>
        <v>0</v>
      </c>
      <c r="I14" s="197"/>
      <c r="J14" s="197"/>
      <c r="K14" s="215">
        <f>SUM(H14:J14)</f>
        <v>0</v>
      </c>
      <c r="L14" s="253">
        <f>ROUND(E14*F14,2)</f>
        <v>0</v>
      </c>
      <c r="M14" s="254">
        <f>ROUND(H14*E14,2)</f>
        <v>0</v>
      </c>
      <c r="N14" s="254">
        <f>ROUND(I14*E14,2)</f>
        <v>0</v>
      </c>
      <c r="O14" s="254">
        <f>ROUND(J14*E14,2)</f>
        <v>0</v>
      </c>
      <c r="P14" s="255">
        <f>SUM(M14:O14)</f>
        <v>0</v>
      </c>
    </row>
    <row r="15" spans="1:16" x14ac:dyDescent="0.2">
      <c r="A15" s="274" t="s">
        <v>68</v>
      </c>
      <c r="B15" s="198"/>
      <c r="C15" s="199" t="s">
        <v>214</v>
      </c>
      <c r="D15" s="128" t="s">
        <v>106</v>
      </c>
      <c r="E15" s="195">
        <v>683.54000000000008</v>
      </c>
      <c r="F15" s="196"/>
      <c r="G15" s="197"/>
      <c r="H15" s="200">
        <f t="shared" ref="H15:H29" si="0">ROUND(F15*G15,2)</f>
        <v>0</v>
      </c>
      <c r="I15" s="197"/>
      <c r="J15" s="197"/>
      <c r="K15" s="217">
        <f t="shared" ref="K15:K29" si="1">SUM(H15:J15)</f>
        <v>0</v>
      </c>
      <c r="L15" s="201">
        <f t="shared" ref="L15:L29" si="2">ROUND(E15*F15,2)</f>
        <v>0</v>
      </c>
      <c r="M15" s="200">
        <f t="shared" ref="M15:M29" si="3">ROUND(H15*E15,2)</f>
        <v>0</v>
      </c>
      <c r="N15" s="200">
        <f t="shared" ref="N15:N29" si="4">ROUND(I15*E15,2)</f>
        <v>0</v>
      </c>
      <c r="O15" s="200">
        <f t="shared" ref="O15:O29" si="5">ROUND(J15*E15,2)</f>
        <v>0</v>
      </c>
      <c r="P15" s="217">
        <f t="shared" ref="P15:P29" si="6">SUM(M15:O15)</f>
        <v>0</v>
      </c>
    </row>
    <row r="16" spans="1:16" x14ac:dyDescent="0.2">
      <c r="A16" s="274" t="s">
        <v>68</v>
      </c>
      <c r="B16" s="198"/>
      <c r="C16" s="199" t="s">
        <v>163</v>
      </c>
      <c r="D16" s="128" t="s">
        <v>164</v>
      </c>
      <c r="E16" s="195">
        <v>6</v>
      </c>
      <c r="F16" s="196"/>
      <c r="G16" s="197"/>
      <c r="H16" s="200">
        <f t="shared" si="0"/>
        <v>0</v>
      </c>
      <c r="I16" s="197"/>
      <c r="J16" s="197"/>
      <c r="K16" s="217">
        <f t="shared" si="1"/>
        <v>0</v>
      </c>
      <c r="L16" s="201">
        <f t="shared" si="2"/>
        <v>0</v>
      </c>
      <c r="M16" s="200">
        <f t="shared" si="3"/>
        <v>0</v>
      </c>
      <c r="N16" s="200">
        <f t="shared" si="4"/>
        <v>0</v>
      </c>
      <c r="O16" s="200">
        <f t="shared" si="5"/>
        <v>0</v>
      </c>
      <c r="P16" s="217">
        <f t="shared" si="6"/>
        <v>0</v>
      </c>
    </row>
    <row r="17" spans="1:16" ht="67.5" x14ac:dyDescent="0.2">
      <c r="A17" s="274">
        <v>2</v>
      </c>
      <c r="B17" s="198" t="s">
        <v>215</v>
      </c>
      <c r="C17" s="199" t="s">
        <v>216</v>
      </c>
      <c r="D17" s="128" t="s">
        <v>73</v>
      </c>
      <c r="E17" s="195">
        <v>627.9</v>
      </c>
      <c r="F17" s="196"/>
      <c r="G17" s="197"/>
      <c r="H17" s="200">
        <f t="shared" si="0"/>
        <v>0</v>
      </c>
      <c r="I17" s="197"/>
      <c r="J17" s="197"/>
      <c r="K17" s="217">
        <f t="shared" si="1"/>
        <v>0</v>
      </c>
      <c r="L17" s="201">
        <f t="shared" si="2"/>
        <v>0</v>
      </c>
      <c r="M17" s="200">
        <f t="shared" si="3"/>
        <v>0</v>
      </c>
      <c r="N17" s="200">
        <f t="shared" si="4"/>
        <v>0</v>
      </c>
      <c r="O17" s="200">
        <f t="shared" si="5"/>
        <v>0</v>
      </c>
      <c r="P17" s="217">
        <f t="shared" si="6"/>
        <v>0</v>
      </c>
    </row>
    <row r="18" spans="1:16" x14ac:dyDescent="0.2">
      <c r="A18" s="274" t="s">
        <v>68</v>
      </c>
      <c r="B18" s="198"/>
      <c r="C18" s="199" t="s">
        <v>217</v>
      </c>
      <c r="D18" s="128" t="s">
        <v>73</v>
      </c>
      <c r="E18" s="195">
        <f>E17*1.1</f>
        <v>690.69</v>
      </c>
      <c r="F18" s="196"/>
      <c r="G18" s="197"/>
      <c r="H18" s="200">
        <f t="shared" si="0"/>
        <v>0</v>
      </c>
      <c r="I18" s="197"/>
      <c r="J18" s="197"/>
      <c r="K18" s="217">
        <f t="shared" si="1"/>
        <v>0</v>
      </c>
      <c r="L18" s="201">
        <f t="shared" si="2"/>
        <v>0</v>
      </c>
      <c r="M18" s="200">
        <f t="shared" si="3"/>
        <v>0</v>
      </c>
      <c r="N18" s="200">
        <f t="shared" si="4"/>
        <v>0</v>
      </c>
      <c r="O18" s="200">
        <f t="shared" si="5"/>
        <v>0</v>
      </c>
      <c r="P18" s="217">
        <f t="shared" si="6"/>
        <v>0</v>
      </c>
    </row>
    <row r="19" spans="1:16" ht="78.75" x14ac:dyDescent="0.2">
      <c r="A19" s="274">
        <v>3</v>
      </c>
      <c r="B19" s="198" t="s">
        <v>218</v>
      </c>
      <c r="C19" s="199" t="s">
        <v>320</v>
      </c>
      <c r="D19" s="128" t="s">
        <v>73</v>
      </c>
      <c r="E19" s="195">
        <v>42.3</v>
      </c>
      <c r="F19" s="196"/>
      <c r="G19" s="197"/>
      <c r="H19" s="200">
        <f t="shared" si="0"/>
        <v>0</v>
      </c>
      <c r="I19" s="197"/>
      <c r="J19" s="197"/>
      <c r="K19" s="217">
        <f t="shared" si="1"/>
        <v>0</v>
      </c>
      <c r="L19" s="201">
        <f t="shared" si="2"/>
        <v>0</v>
      </c>
      <c r="M19" s="200">
        <f t="shared" si="3"/>
        <v>0</v>
      </c>
      <c r="N19" s="200">
        <f t="shared" si="4"/>
        <v>0</v>
      </c>
      <c r="O19" s="200">
        <f t="shared" si="5"/>
        <v>0</v>
      </c>
      <c r="P19" s="217">
        <f t="shared" si="6"/>
        <v>0</v>
      </c>
    </row>
    <row r="20" spans="1:16" x14ac:dyDescent="0.2">
      <c r="A20" s="274" t="s">
        <v>68</v>
      </c>
      <c r="B20" s="198"/>
      <c r="C20" s="199" t="s">
        <v>161</v>
      </c>
      <c r="D20" s="128" t="s">
        <v>106</v>
      </c>
      <c r="E20" s="195">
        <v>46.53</v>
      </c>
      <c r="F20" s="196"/>
      <c r="G20" s="197"/>
      <c r="H20" s="200">
        <f t="shared" si="0"/>
        <v>0</v>
      </c>
      <c r="I20" s="197"/>
      <c r="J20" s="197"/>
      <c r="K20" s="217">
        <f t="shared" si="1"/>
        <v>0</v>
      </c>
      <c r="L20" s="201">
        <f t="shared" si="2"/>
        <v>0</v>
      </c>
      <c r="M20" s="200">
        <f t="shared" si="3"/>
        <v>0</v>
      </c>
      <c r="N20" s="200">
        <f t="shared" si="4"/>
        <v>0</v>
      </c>
      <c r="O20" s="200">
        <f t="shared" si="5"/>
        <v>0</v>
      </c>
      <c r="P20" s="217">
        <f t="shared" si="6"/>
        <v>0</v>
      </c>
    </row>
    <row r="21" spans="1:16" x14ac:dyDescent="0.2">
      <c r="A21" s="274" t="s">
        <v>68</v>
      </c>
      <c r="B21" s="198"/>
      <c r="C21" s="199" t="s">
        <v>84</v>
      </c>
      <c r="D21" s="128" t="s">
        <v>83</v>
      </c>
      <c r="E21" s="195">
        <v>253.79999999999998</v>
      </c>
      <c r="F21" s="196"/>
      <c r="G21" s="197"/>
      <c r="H21" s="200">
        <f t="shared" si="0"/>
        <v>0</v>
      </c>
      <c r="I21" s="197"/>
      <c r="J21" s="197"/>
      <c r="K21" s="217">
        <f t="shared" si="1"/>
        <v>0</v>
      </c>
      <c r="L21" s="201">
        <f t="shared" si="2"/>
        <v>0</v>
      </c>
      <c r="M21" s="200">
        <f t="shared" si="3"/>
        <v>0</v>
      </c>
      <c r="N21" s="200">
        <f t="shared" si="4"/>
        <v>0</v>
      </c>
      <c r="O21" s="200">
        <f t="shared" si="5"/>
        <v>0</v>
      </c>
      <c r="P21" s="217">
        <f t="shared" si="6"/>
        <v>0</v>
      </c>
    </row>
    <row r="22" spans="1:16" ht="22.5" x14ac:dyDescent="0.2">
      <c r="A22" s="274">
        <v>4</v>
      </c>
      <c r="B22" s="198" t="s">
        <v>65</v>
      </c>
      <c r="C22" s="199" t="s">
        <v>500</v>
      </c>
      <c r="D22" s="128" t="s">
        <v>70</v>
      </c>
      <c r="E22" s="195">
        <v>82</v>
      </c>
      <c r="F22" s="196"/>
      <c r="G22" s="197"/>
      <c r="H22" s="200">
        <f t="shared" si="0"/>
        <v>0</v>
      </c>
      <c r="I22" s="197"/>
      <c r="J22" s="197"/>
      <c r="K22" s="217">
        <f t="shared" si="1"/>
        <v>0</v>
      </c>
      <c r="L22" s="201">
        <f t="shared" si="2"/>
        <v>0</v>
      </c>
      <c r="M22" s="200">
        <f t="shared" si="3"/>
        <v>0</v>
      </c>
      <c r="N22" s="200">
        <f t="shared" si="4"/>
        <v>0</v>
      </c>
      <c r="O22" s="200">
        <f t="shared" si="5"/>
        <v>0</v>
      </c>
      <c r="P22" s="217">
        <f t="shared" si="6"/>
        <v>0</v>
      </c>
    </row>
    <row r="23" spans="1:16" ht="22.5" x14ac:dyDescent="0.2">
      <c r="A23" s="274"/>
      <c r="B23" s="198"/>
      <c r="C23" s="300" t="s">
        <v>503</v>
      </c>
      <c r="D23" s="305" t="s">
        <v>157</v>
      </c>
      <c r="E23" s="306">
        <v>2.7675000000000001</v>
      </c>
      <c r="F23" s="196"/>
      <c r="G23" s="197"/>
      <c r="H23" s="200"/>
      <c r="I23" s="197"/>
      <c r="J23" s="197"/>
      <c r="K23" s="217"/>
      <c r="L23" s="201"/>
      <c r="M23" s="200"/>
      <c r="N23" s="200"/>
      <c r="O23" s="200"/>
      <c r="P23" s="217"/>
    </row>
    <row r="24" spans="1:16" x14ac:dyDescent="0.2">
      <c r="A24" s="274"/>
      <c r="B24" s="198"/>
      <c r="C24" s="301" t="s">
        <v>504</v>
      </c>
      <c r="D24" s="305" t="s">
        <v>157</v>
      </c>
      <c r="E24" s="306">
        <v>1.8655000000000002</v>
      </c>
      <c r="F24" s="196"/>
      <c r="G24" s="197"/>
      <c r="H24" s="200"/>
      <c r="I24" s="197"/>
      <c r="J24" s="197"/>
      <c r="K24" s="217"/>
      <c r="L24" s="201"/>
      <c r="M24" s="200"/>
      <c r="N24" s="200"/>
      <c r="O24" s="200"/>
      <c r="P24" s="217"/>
    </row>
    <row r="25" spans="1:16" ht="22.5" x14ac:dyDescent="0.2">
      <c r="A25" s="274"/>
      <c r="B25" s="198"/>
      <c r="C25" s="301" t="s">
        <v>505</v>
      </c>
      <c r="D25" s="305" t="s">
        <v>157</v>
      </c>
      <c r="E25" s="306">
        <v>5.9039999999999999</v>
      </c>
      <c r="F25" s="196"/>
      <c r="G25" s="197"/>
      <c r="H25" s="200"/>
      <c r="I25" s="197"/>
      <c r="J25" s="197"/>
      <c r="K25" s="217"/>
      <c r="L25" s="201"/>
      <c r="M25" s="200"/>
      <c r="N25" s="200"/>
      <c r="O25" s="200"/>
      <c r="P25" s="217"/>
    </row>
    <row r="26" spans="1:16" x14ac:dyDescent="0.2">
      <c r="A26" s="274"/>
      <c r="B26" s="198"/>
      <c r="C26" s="302" t="s">
        <v>506</v>
      </c>
      <c r="D26" s="303" t="s">
        <v>73</v>
      </c>
      <c r="E26" s="304">
        <v>22</v>
      </c>
      <c r="F26" s="196"/>
      <c r="G26" s="197"/>
      <c r="H26" s="200"/>
      <c r="I26" s="197"/>
      <c r="J26" s="197"/>
      <c r="K26" s="217"/>
      <c r="L26" s="201"/>
      <c r="M26" s="200"/>
      <c r="N26" s="200"/>
      <c r="O26" s="200"/>
      <c r="P26" s="217"/>
    </row>
    <row r="27" spans="1:16" ht="22.5" x14ac:dyDescent="0.2">
      <c r="A27" s="274">
        <v>5</v>
      </c>
      <c r="B27" s="198" t="s">
        <v>65</v>
      </c>
      <c r="C27" s="199" t="s">
        <v>219</v>
      </c>
      <c r="D27" s="128" t="s">
        <v>70</v>
      </c>
      <c r="E27" s="195">
        <v>4</v>
      </c>
      <c r="F27" s="196"/>
      <c r="G27" s="197"/>
      <c r="H27" s="200">
        <f t="shared" si="0"/>
        <v>0</v>
      </c>
      <c r="I27" s="197"/>
      <c r="J27" s="197"/>
      <c r="K27" s="217">
        <f t="shared" si="1"/>
        <v>0</v>
      </c>
      <c r="L27" s="201">
        <f t="shared" si="2"/>
        <v>0</v>
      </c>
      <c r="M27" s="200">
        <f t="shared" si="3"/>
        <v>0</v>
      </c>
      <c r="N27" s="200">
        <f t="shared" si="4"/>
        <v>0</v>
      </c>
      <c r="O27" s="200">
        <f t="shared" si="5"/>
        <v>0</v>
      </c>
      <c r="P27" s="217">
        <f t="shared" si="6"/>
        <v>0</v>
      </c>
    </row>
    <row r="28" spans="1:16" x14ac:dyDescent="0.2">
      <c r="A28" s="274">
        <v>6</v>
      </c>
      <c r="B28" s="198" t="s">
        <v>65</v>
      </c>
      <c r="C28" s="199" t="s">
        <v>369</v>
      </c>
      <c r="D28" s="128" t="s">
        <v>70</v>
      </c>
      <c r="E28" s="195">
        <v>1</v>
      </c>
      <c r="F28" s="196"/>
      <c r="G28" s="197"/>
      <c r="H28" s="200">
        <f t="shared" si="0"/>
        <v>0</v>
      </c>
      <c r="I28" s="197"/>
      <c r="J28" s="197"/>
      <c r="K28" s="217">
        <f t="shared" si="1"/>
        <v>0</v>
      </c>
      <c r="L28" s="201">
        <f t="shared" si="2"/>
        <v>0</v>
      </c>
      <c r="M28" s="200">
        <f t="shared" si="3"/>
        <v>0</v>
      </c>
      <c r="N28" s="200">
        <f t="shared" si="4"/>
        <v>0</v>
      </c>
      <c r="O28" s="200">
        <f t="shared" si="5"/>
        <v>0</v>
      </c>
      <c r="P28" s="217">
        <f t="shared" si="6"/>
        <v>0</v>
      </c>
    </row>
    <row r="29" spans="1:16" ht="12" thickBot="1" x14ac:dyDescent="0.25">
      <c r="A29" s="274">
        <v>7</v>
      </c>
      <c r="B29" s="198" t="s">
        <v>65</v>
      </c>
      <c r="C29" s="199" t="s">
        <v>220</v>
      </c>
      <c r="D29" s="128" t="s">
        <v>157</v>
      </c>
      <c r="E29" s="195">
        <v>4</v>
      </c>
      <c r="F29" s="196"/>
      <c r="G29" s="197"/>
      <c r="H29" s="200">
        <f t="shared" si="0"/>
        <v>0</v>
      </c>
      <c r="I29" s="197"/>
      <c r="J29" s="197"/>
      <c r="K29" s="217">
        <f t="shared" si="1"/>
        <v>0</v>
      </c>
      <c r="L29" s="284">
        <f t="shared" si="2"/>
        <v>0</v>
      </c>
      <c r="M29" s="285">
        <f t="shared" si="3"/>
        <v>0</v>
      </c>
      <c r="N29" s="285">
        <f t="shared" si="4"/>
        <v>0</v>
      </c>
      <c r="O29" s="285">
        <f t="shared" si="5"/>
        <v>0</v>
      </c>
      <c r="P29" s="286">
        <f t="shared" si="6"/>
        <v>0</v>
      </c>
    </row>
    <row r="30" spans="1:16" ht="12" thickBot="1" x14ac:dyDescent="0.25">
      <c r="A30" s="382" t="s">
        <v>514</v>
      </c>
      <c r="B30" s="383"/>
      <c r="C30" s="383"/>
      <c r="D30" s="383"/>
      <c r="E30" s="383"/>
      <c r="F30" s="383"/>
      <c r="G30" s="383"/>
      <c r="H30" s="383"/>
      <c r="I30" s="383"/>
      <c r="J30" s="383"/>
      <c r="K30" s="384"/>
      <c r="L30" s="219">
        <f>SUM(L14:L29)</f>
        <v>0</v>
      </c>
      <c r="M30" s="220">
        <f>SUM(M14:M29)</f>
        <v>0</v>
      </c>
      <c r="N30" s="220">
        <f>SUM(N14:N29)</f>
        <v>0</v>
      </c>
      <c r="O30" s="220">
        <f>SUM(O14:O29)</f>
        <v>0</v>
      </c>
      <c r="P30" s="221">
        <f>SUM(P14:P29)</f>
        <v>0</v>
      </c>
    </row>
    <row r="31" spans="1:16" x14ac:dyDescent="0.2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</row>
    <row r="32" spans="1:16" x14ac:dyDescent="0.2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</row>
    <row r="33" spans="1:16" x14ac:dyDescent="0.2">
      <c r="A33" s="179" t="s">
        <v>14</v>
      </c>
      <c r="B33" s="182"/>
      <c r="C33" s="380">
        <f>'Kops a'!C32:H32</f>
        <v>0</v>
      </c>
      <c r="D33" s="380"/>
      <c r="E33" s="380"/>
      <c r="F33" s="380"/>
      <c r="G33" s="380"/>
      <c r="H33" s="380"/>
      <c r="I33" s="182"/>
      <c r="J33" s="182"/>
      <c r="K33" s="182"/>
      <c r="L33" s="182"/>
      <c r="M33" s="182"/>
      <c r="N33" s="182"/>
      <c r="O33" s="182"/>
      <c r="P33" s="182"/>
    </row>
    <row r="34" spans="1:16" x14ac:dyDescent="0.2">
      <c r="A34" s="182"/>
      <c r="B34" s="182"/>
      <c r="C34" s="381" t="s">
        <v>15</v>
      </c>
      <c r="D34" s="381"/>
      <c r="E34" s="381"/>
      <c r="F34" s="381"/>
      <c r="G34" s="381"/>
      <c r="H34" s="381"/>
      <c r="I34" s="182"/>
      <c r="J34" s="182"/>
      <c r="K34" s="182"/>
      <c r="L34" s="182"/>
      <c r="M34" s="182"/>
      <c r="N34" s="182"/>
      <c r="O34" s="182"/>
      <c r="P34" s="182"/>
    </row>
    <row r="35" spans="1:16" x14ac:dyDescent="0.2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</row>
    <row r="36" spans="1:16" x14ac:dyDescent="0.2">
      <c r="A36" s="208" t="str">
        <f>'Kops a'!A35</f>
        <v>Tāme sastādīta 2021. gada</v>
      </c>
      <c r="B36" s="209"/>
      <c r="C36" s="209"/>
      <c r="D36" s="209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</row>
    <row r="37" spans="1:16" x14ac:dyDescent="0.2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</row>
    <row r="38" spans="1:16" x14ac:dyDescent="0.2">
      <c r="A38" s="179" t="s">
        <v>37</v>
      </c>
      <c r="B38" s="182"/>
      <c r="C38" s="380">
        <f>'Kops a'!C37:H37</f>
        <v>0</v>
      </c>
      <c r="D38" s="380"/>
      <c r="E38" s="380"/>
      <c r="F38" s="380"/>
      <c r="G38" s="380"/>
      <c r="H38" s="380"/>
      <c r="I38" s="182"/>
      <c r="J38" s="182"/>
      <c r="K38" s="182"/>
      <c r="L38" s="182"/>
      <c r="M38" s="182"/>
      <c r="N38" s="182"/>
      <c r="O38" s="182"/>
      <c r="P38" s="182"/>
    </row>
    <row r="39" spans="1:16" x14ac:dyDescent="0.2">
      <c r="A39" s="182"/>
      <c r="B39" s="182"/>
      <c r="C39" s="381" t="s">
        <v>15</v>
      </c>
      <c r="D39" s="381"/>
      <c r="E39" s="381"/>
      <c r="F39" s="381"/>
      <c r="G39" s="381"/>
      <c r="H39" s="381"/>
      <c r="I39" s="182"/>
      <c r="J39" s="182"/>
      <c r="K39" s="182"/>
      <c r="L39" s="182"/>
      <c r="M39" s="182"/>
      <c r="N39" s="182"/>
      <c r="O39" s="182"/>
      <c r="P39" s="182"/>
    </row>
    <row r="40" spans="1:16" x14ac:dyDescent="0.2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</row>
    <row r="41" spans="1:16" x14ac:dyDescent="0.2">
      <c r="A41" s="208" t="s">
        <v>54</v>
      </c>
      <c r="B41" s="209"/>
      <c r="C41" s="210">
        <f>'Kops a'!C40</f>
        <v>0</v>
      </c>
      <c r="D41" s="211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</row>
    <row r="42" spans="1:16" x14ac:dyDescent="0.2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</row>
    <row r="43" spans="1:16" ht="12" x14ac:dyDescent="0.2">
      <c r="A43" s="222" t="s">
        <v>316</v>
      </c>
      <c r="B43" s="223"/>
      <c r="C43" s="222"/>
      <c r="D43" s="222"/>
      <c r="E43" s="224"/>
      <c r="F43" s="225"/>
      <c r="G43" s="224"/>
      <c r="H43" s="226"/>
      <c r="I43" s="226"/>
      <c r="J43" s="227"/>
      <c r="K43" s="228"/>
      <c r="L43" s="228"/>
      <c r="M43" s="228"/>
      <c r="N43" s="228"/>
      <c r="O43" s="228"/>
    </row>
    <row r="44" spans="1:16" ht="12" x14ac:dyDescent="0.2">
      <c r="A44" s="385" t="s">
        <v>317</v>
      </c>
      <c r="B44" s="385"/>
      <c r="C44" s="385"/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</row>
    <row r="45" spans="1:16" ht="12" x14ac:dyDescent="0.2">
      <c r="A45" s="385" t="s">
        <v>318</v>
      </c>
      <c r="B45" s="385"/>
      <c r="C45" s="385"/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</row>
  </sheetData>
  <mergeCells count="24">
    <mergeCell ref="C39:H39"/>
    <mergeCell ref="C4:I4"/>
    <mergeCell ref="D8:L8"/>
    <mergeCell ref="A30:K30"/>
    <mergeCell ref="A44:O44"/>
    <mergeCell ref="F12:K12"/>
    <mergeCell ref="A9:F9"/>
    <mergeCell ref="J9:M9"/>
    <mergeCell ref="A45:O45"/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33:H33"/>
    <mergeCell ref="C34:H34"/>
    <mergeCell ref="C38:H38"/>
  </mergeCells>
  <phoneticPr fontId="25" type="noConversion"/>
  <conditionalFormatting sqref="A15:G29 I15:J29">
    <cfRule type="cellIs" dxfId="58" priority="27" operator="equal">
      <formula>0</formula>
    </cfRule>
  </conditionalFormatting>
  <conditionalFormatting sqref="N9:O9 H14:H29 K14:P29">
    <cfRule type="cellIs" dxfId="57" priority="26" operator="equal">
      <formula>0</formula>
    </cfRule>
  </conditionalFormatting>
  <conditionalFormatting sqref="A9:F9">
    <cfRule type="containsText" dxfId="56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5" priority="23" operator="equal">
      <formula>0</formula>
    </cfRule>
  </conditionalFormatting>
  <conditionalFormatting sqref="O10">
    <cfRule type="cellIs" dxfId="54" priority="22" operator="equal">
      <formula>"20__. gada __. _________"</formula>
    </cfRule>
  </conditionalFormatting>
  <conditionalFormatting sqref="A30:K30">
    <cfRule type="containsText" dxfId="53" priority="21" operator="containsText" text="Tiešās izmaksas kopā, t. sk. darba devēja sociālais nodoklis __.__% ">
      <formula>NOT(ISERROR(SEARCH("Tiešās izmaksas kopā, t. sk. darba devēja sociālais nodoklis __.__% ",A30)))</formula>
    </cfRule>
  </conditionalFormatting>
  <conditionalFormatting sqref="L30:P30">
    <cfRule type="cellIs" dxfId="52" priority="16" operator="equal">
      <formula>0</formula>
    </cfRule>
  </conditionalFormatting>
  <conditionalFormatting sqref="C4:I4">
    <cfRule type="cellIs" dxfId="51" priority="15" operator="equal">
      <formula>0</formula>
    </cfRule>
  </conditionalFormatting>
  <conditionalFormatting sqref="D5:L8">
    <cfRule type="cellIs" dxfId="50" priority="11" operator="equal">
      <formula>0</formula>
    </cfRule>
  </conditionalFormatting>
  <conditionalFormatting sqref="A14:B14 D14:G14">
    <cfRule type="cellIs" dxfId="49" priority="10" operator="equal">
      <formula>0</formula>
    </cfRule>
  </conditionalFormatting>
  <conditionalFormatting sqref="C14">
    <cfRule type="cellIs" dxfId="48" priority="9" operator="equal">
      <formula>0</formula>
    </cfRule>
  </conditionalFormatting>
  <conditionalFormatting sqref="I14:J14">
    <cfRule type="cellIs" dxfId="47" priority="8" operator="equal">
      <formula>0</formula>
    </cfRule>
  </conditionalFormatting>
  <conditionalFormatting sqref="P10">
    <cfRule type="cellIs" dxfId="46" priority="7" operator="equal">
      <formula>"20__. gada __. _________"</formula>
    </cfRule>
  </conditionalFormatting>
  <conditionalFormatting sqref="C38:H38">
    <cfRule type="cellIs" dxfId="45" priority="4" operator="equal">
      <formula>0</formula>
    </cfRule>
  </conditionalFormatting>
  <conditionalFormatting sqref="C33:H33">
    <cfRule type="cellIs" dxfId="44" priority="3" operator="equal">
      <formula>0</formula>
    </cfRule>
  </conditionalFormatting>
  <conditionalFormatting sqref="C38:H38 C41 C33:H33">
    <cfRule type="cellIs" dxfId="43" priority="2" operator="equal">
      <formula>0</formula>
    </cfRule>
  </conditionalFormatting>
  <conditionalFormatting sqref="D1">
    <cfRule type="cellIs" dxfId="4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rowBreaks count="1" manualBreakCount="1">
    <brk id="28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A5F45D83-914D-4306-B26D-4B74C3C819FC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5" operator="containsText" id="{A2E03CF5-E14D-4A31-8C34-6550548A72DB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>
    <tabColor rgb="FFFF0000"/>
    <pageSetUpPr fitToPage="1"/>
  </sheetPr>
  <dimension ref="A1:P121"/>
  <sheetViews>
    <sheetView view="pageBreakPreview" topLeftCell="A28" zoomScale="115" zoomScaleNormal="115" zoomScaleSheetLayoutView="115" zoomScalePageLayoutView="85" workbookViewId="0">
      <selection activeCell="A107" sqref="A107"/>
    </sheetView>
  </sheetViews>
  <sheetFormatPr defaultColWidth="9.140625" defaultRowHeight="11.25" x14ac:dyDescent="0.2"/>
  <cols>
    <col min="1" max="1" width="4.5703125" style="179" customWidth="1"/>
    <col min="2" max="2" width="5.28515625" style="179" customWidth="1"/>
    <col min="3" max="3" width="38.42578125" style="179" customWidth="1"/>
    <col min="4" max="4" width="5.85546875" style="179" customWidth="1"/>
    <col min="5" max="5" width="8.7109375" style="179" customWidth="1"/>
    <col min="6" max="6" width="5.42578125" style="179" customWidth="1"/>
    <col min="7" max="7" width="4.85546875" style="179" customWidth="1"/>
    <col min="8" max="10" width="6.7109375" style="179" customWidth="1"/>
    <col min="11" max="11" width="7" style="179" customWidth="1"/>
    <col min="12" max="15" width="7.7109375" style="179" customWidth="1"/>
    <col min="16" max="16" width="9" style="179" customWidth="1"/>
    <col min="17" max="16384" width="9.140625" style="179"/>
  </cols>
  <sheetData>
    <row r="1" spans="1:16" x14ac:dyDescent="0.2">
      <c r="A1" s="176"/>
      <c r="B1" s="176"/>
      <c r="C1" s="177" t="s">
        <v>38</v>
      </c>
      <c r="D1" s="178" t="str">
        <f>'Kops a'!B21</f>
        <v>Lt-7</v>
      </c>
      <c r="E1" s="176"/>
      <c r="F1" s="176"/>
      <c r="G1" s="176"/>
      <c r="H1" s="176"/>
      <c r="I1" s="176"/>
      <c r="J1" s="176"/>
      <c r="N1" s="180"/>
      <c r="O1" s="177"/>
      <c r="P1" s="181"/>
    </row>
    <row r="2" spans="1:16" x14ac:dyDescent="0.2">
      <c r="A2" s="176"/>
      <c r="B2" s="176"/>
      <c r="C2" s="386" t="s">
        <v>221</v>
      </c>
      <c r="D2" s="386"/>
      <c r="E2" s="386"/>
      <c r="F2" s="386"/>
      <c r="G2" s="386"/>
      <c r="H2" s="386"/>
      <c r="I2" s="386"/>
      <c r="J2" s="176"/>
    </row>
    <row r="3" spans="1:16" x14ac:dyDescent="0.2">
      <c r="A3" s="212"/>
      <c r="B3" s="212"/>
      <c r="C3" s="387" t="s">
        <v>17</v>
      </c>
      <c r="D3" s="387"/>
      <c r="E3" s="387"/>
      <c r="F3" s="387"/>
      <c r="G3" s="387"/>
      <c r="H3" s="387"/>
      <c r="I3" s="387"/>
      <c r="J3" s="212"/>
    </row>
    <row r="4" spans="1:16" x14ac:dyDescent="0.2">
      <c r="A4" s="212"/>
      <c r="B4" s="212"/>
      <c r="C4" s="388" t="s">
        <v>52</v>
      </c>
      <c r="D4" s="388"/>
      <c r="E4" s="388"/>
      <c r="F4" s="388"/>
      <c r="G4" s="388"/>
      <c r="H4" s="388"/>
      <c r="I4" s="388"/>
      <c r="J4" s="212"/>
    </row>
    <row r="5" spans="1:16" x14ac:dyDescent="0.2">
      <c r="A5" s="176"/>
      <c r="B5" s="176"/>
      <c r="C5" s="177" t="s">
        <v>5</v>
      </c>
      <c r="D5" s="377" t="str">
        <f>'Kops a'!D6</f>
        <v>Daudzdzīvokļu dzīvojamā ēka</v>
      </c>
      <c r="E5" s="377"/>
      <c r="F5" s="377"/>
      <c r="G5" s="377"/>
      <c r="H5" s="377"/>
      <c r="I5" s="377"/>
      <c r="J5" s="377"/>
      <c r="K5" s="377"/>
      <c r="L5" s="377"/>
      <c r="M5" s="182"/>
      <c r="N5" s="182"/>
      <c r="O5" s="182"/>
      <c r="P5" s="182"/>
    </row>
    <row r="6" spans="1:16" x14ac:dyDescent="0.2">
      <c r="A6" s="176"/>
      <c r="B6" s="176"/>
      <c r="C6" s="177" t="s">
        <v>6</v>
      </c>
      <c r="D6" s="377" t="str">
        <f>'Kops a'!D7</f>
        <v>Daudzdzīvokļu dzīvojamās ēkas energoefektivitātes paaugstināšanas pasākumi</v>
      </c>
      <c r="E6" s="377"/>
      <c r="F6" s="377"/>
      <c r="G6" s="377"/>
      <c r="H6" s="377"/>
      <c r="I6" s="377"/>
      <c r="J6" s="377"/>
      <c r="K6" s="377"/>
      <c r="L6" s="377"/>
      <c r="M6" s="182"/>
      <c r="N6" s="182"/>
      <c r="O6" s="182"/>
      <c r="P6" s="182"/>
    </row>
    <row r="7" spans="1:16" x14ac:dyDescent="0.2">
      <c r="A7" s="176"/>
      <c r="B7" s="176"/>
      <c r="C7" s="177" t="s">
        <v>7</v>
      </c>
      <c r="D7" s="377" t="str">
        <f>'Kops a'!D8</f>
        <v>Rojas iela 2, Liepāja</v>
      </c>
      <c r="E7" s="377"/>
      <c r="F7" s="377"/>
      <c r="G7" s="377"/>
      <c r="H7" s="377"/>
      <c r="I7" s="377"/>
      <c r="J7" s="377"/>
      <c r="K7" s="377"/>
      <c r="L7" s="377"/>
      <c r="M7" s="182"/>
      <c r="N7" s="182"/>
      <c r="O7" s="182"/>
      <c r="P7" s="182"/>
    </row>
    <row r="8" spans="1:16" x14ac:dyDescent="0.2">
      <c r="A8" s="176"/>
      <c r="B8" s="176"/>
      <c r="C8" s="183" t="s">
        <v>20</v>
      </c>
      <c r="D8" s="377" t="str">
        <f>'Kops a'!D9</f>
        <v>WS-54-15</v>
      </c>
      <c r="E8" s="377"/>
      <c r="F8" s="377"/>
      <c r="G8" s="377"/>
      <c r="H8" s="377"/>
      <c r="I8" s="377"/>
      <c r="J8" s="377"/>
      <c r="K8" s="377"/>
      <c r="L8" s="377"/>
      <c r="M8" s="182"/>
      <c r="N8" s="182"/>
      <c r="O8" s="182"/>
      <c r="P8" s="182"/>
    </row>
    <row r="9" spans="1:16" ht="11.25" customHeight="1" x14ac:dyDescent="0.2">
      <c r="A9" s="389" t="s">
        <v>513</v>
      </c>
      <c r="B9" s="389"/>
      <c r="C9" s="389"/>
      <c r="D9" s="389"/>
      <c r="E9" s="389"/>
      <c r="F9" s="389"/>
      <c r="G9" s="184"/>
      <c r="H9" s="184"/>
      <c r="I9" s="184"/>
      <c r="J9" s="393" t="s">
        <v>39</v>
      </c>
      <c r="K9" s="393"/>
      <c r="L9" s="393"/>
      <c r="M9" s="393"/>
      <c r="N9" s="401">
        <f>P106</f>
        <v>0</v>
      </c>
      <c r="O9" s="401"/>
      <c r="P9" s="184"/>
    </row>
    <row r="10" spans="1:16" x14ac:dyDescent="0.2">
      <c r="A10" s="185"/>
      <c r="B10" s="186"/>
      <c r="C10" s="183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O10" s="229"/>
      <c r="P10" s="188" t="str">
        <f>A112</f>
        <v>Tāme sastādīta 2021. gada</v>
      </c>
    </row>
    <row r="11" spans="1:16" ht="12" thickBot="1" x14ac:dyDescent="0.25">
      <c r="A11" s="185"/>
      <c r="B11" s="186"/>
      <c r="C11" s="183"/>
      <c r="D11" s="176"/>
      <c r="E11" s="176"/>
      <c r="F11" s="176"/>
      <c r="G11" s="176"/>
      <c r="H11" s="176"/>
      <c r="I11" s="176"/>
      <c r="J11" s="176"/>
      <c r="K11" s="176"/>
      <c r="L11" s="177"/>
      <c r="M11" s="177"/>
      <c r="N11" s="189"/>
      <c r="O11" s="180"/>
      <c r="P11" s="176"/>
    </row>
    <row r="12" spans="1:16" x14ac:dyDescent="0.2">
      <c r="A12" s="394" t="s">
        <v>23</v>
      </c>
      <c r="B12" s="396" t="s">
        <v>40</v>
      </c>
      <c r="C12" s="391" t="s">
        <v>41</v>
      </c>
      <c r="D12" s="399" t="s">
        <v>42</v>
      </c>
      <c r="E12" s="378" t="s">
        <v>43</v>
      </c>
      <c r="F12" s="390" t="s">
        <v>44</v>
      </c>
      <c r="G12" s="391"/>
      <c r="H12" s="391"/>
      <c r="I12" s="391"/>
      <c r="J12" s="391"/>
      <c r="K12" s="392"/>
      <c r="L12" s="390" t="s">
        <v>45</v>
      </c>
      <c r="M12" s="391"/>
      <c r="N12" s="391"/>
      <c r="O12" s="391"/>
      <c r="P12" s="392"/>
    </row>
    <row r="13" spans="1:16" ht="67.5" customHeight="1" thickBot="1" x14ac:dyDescent="0.25">
      <c r="A13" s="395"/>
      <c r="B13" s="397"/>
      <c r="C13" s="398"/>
      <c r="D13" s="400"/>
      <c r="E13" s="379"/>
      <c r="F13" s="190" t="s">
        <v>46</v>
      </c>
      <c r="G13" s="191" t="s">
        <v>47</v>
      </c>
      <c r="H13" s="191" t="s">
        <v>48</v>
      </c>
      <c r="I13" s="191" t="s">
        <v>49</v>
      </c>
      <c r="J13" s="191" t="s">
        <v>50</v>
      </c>
      <c r="K13" s="213" t="s">
        <v>51</v>
      </c>
      <c r="L13" s="190" t="s">
        <v>46</v>
      </c>
      <c r="M13" s="191" t="s">
        <v>48</v>
      </c>
      <c r="N13" s="191" t="s">
        <v>49</v>
      </c>
      <c r="O13" s="191" t="s">
        <v>50</v>
      </c>
      <c r="P13" s="213" t="s">
        <v>51</v>
      </c>
    </row>
    <row r="14" spans="1:16" x14ac:dyDescent="0.2">
      <c r="A14" s="192" t="s">
        <v>68</v>
      </c>
      <c r="B14" s="193"/>
      <c r="C14" s="194" t="s">
        <v>222</v>
      </c>
      <c r="D14" s="214"/>
      <c r="E14" s="195"/>
      <c r="F14" s="196"/>
      <c r="G14" s="197"/>
      <c r="H14" s="197">
        <f>ROUND(F14*G14,2)</f>
        <v>0</v>
      </c>
      <c r="I14" s="197"/>
      <c r="J14" s="197"/>
      <c r="K14" s="216">
        <f>SUM(H14:J14)</f>
        <v>0</v>
      </c>
      <c r="L14" s="253">
        <f>ROUND(E14*F14,2)</f>
        <v>0</v>
      </c>
      <c r="M14" s="254">
        <f>ROUND(H14*E14,2)</f>
        <v>0</v>
      </c>
      <c r="N14" s="254">
        <f>ROUND(I14*E14,2)</f>
        <v>0</v>
      </c>
      <c r="O14" s="254">
        <f>ROUND(J14*E14,2)</f>
        <v>0</v>
      </c>
      <c r="P14" s="255">
        <f>SUM(M14:O14)</f>
        <v>0</v>
      </c>
    </row>
    <row r="15" spans="1:16" ht="22.5" x14ac:dyDescent="0.2">
      <c r="A15" s="274">
        <f>IF(COUNTBLANK(B15)=1," ",COUNTA(B$15:B15))</f>
        <v>1</v>
      </c>
      <c r="B15" s="198" t="s">
        <v>65</v>
      </c>
      <c r="C15" s="199" t="s">
        <v>223</v>
      </c>
      <c r="D15" s="128" t="s">
        <v>67</v>
      </c>
      <c r="E15" s="195">
        <v>61.25</v>
      </c>
      <c r="F15" s="196"/>
      <c r="G15" s="197"/>
      <c r="H15" s="200">
        <f t="shared" ref="H15:H69" si="0">ROUND(F15*G15,2)</f>
        <v>0</v>
      </c>
      <c r="I15" s="197"/>
      <c r="J15" s="197"/>
      <c r="K15" s="218">
        <f t="shared" ref="K15:K69" si="1">SUM(H15:J15)</f>
        <v>0</v>
      </c>
      <c r="L15" s="201">
        <f t="shared" ref="L15:L69" si="2">ROUND(E15*F15,2)</f>
        <v>0</v>
      </c>
      <c r="M15" s="200">
        <f t="shared" ref="M15:M69" si="3">ROUND(H15*E15,2)</f>
        <v>0</v>
      </c>
      <c r="N15" s="200">
        <f t="shared" ref="N15:N69" si="4">ROUND(I15*E15,2)</f>
        <v>0</v>
      </c>
      <c r="O15" s="200">
        <f t="shared" ref="O15:O69" si="5">ROUND(J15*E15,2)</f>
        <v>0</v>
      </c>
      <c r="P15" s="217">
        <f t="shared" ref="P15:P69" si="6">SUM(M15:O15)</f>
        <v>0</v>
      </c>
    </row>
    <row r="16" spans="1:16" ht="22.5" x14ac:dyDescent="0.2">
      <c r="A16" s="274">
        <f>IF(COUNTBLANK(B16)=1," ",COUNTA(B$15:B16))</f>
        <v>2</v>
      </c>
      <c r="B16" s="198" t="s">
        <v>65</v>
      </c>
      <c r="C16" s="199" t="s">
        <v>224</v>
      </c>
      <c r="D16" s="128" t="s">
        <v>157</v>
      </c>
      <c r="E16" s="195">
        <v>0.36750000000000005</v>
      </c>
      <c r="F16" s="196"/>
      <c r="G16" s="197"/>
      <c r="H16" s="200">
        <f t="shared" si="0"/>
        <v>0</v>
      </c>
      <c r="I16" s="197"/>
      <c r="J16" s="197"/>
      <c r="K16" s="218">
        <f t="shared" si="1"/>
        <v>0</v>
      </c>
      <c r="L16" s="201">
        <f t="shared" si="2"/>
        <v>0</v>
      </c>
      <c r="M16" s="200">
        <f t="shared" si="3"/>
        <v>0</v>
      </c>
      <c r="N16" s="200">
        <f t="shared" si="4"/>
        <v>0</v>
      </c>
      <c r="O16" s="200">
        <f t="shared" si="5"/>
        <v>0</v>
      </c>
      <c r="P16" s="217">
        <f t="shared" si="6"/>
        <v>0</v>
      </c>
    </row>
    <row r="17" spans="1:16" x14ac:dyDescent="0.2">
      <c r="A17" s="274" t="str">
        <f>IF(COUNTBLANK(B17)=1," ",COUNTA(B$15:B17))</f>
        <v xml:space="preserve"> </v>
      </c>
      <c r="B17" s="198"/>
      <c r="C17" s="199" t="s">
        <v>225</v>
      </c>
      <c r="D17" s="128" t="s">
        <v>157</v>
      </c>
      <c r="E17" s="195">
        <v>0.40425000000000005</v>
      </c>
      <c r="F17" s="196"/>
      <c r="G17" s="197"/>
      <c r="H17" s="200">
        <f t="shared" si="0"/>
        <v>0</v>
      </c>
      <c r="I17" s="197"/>
      <c r="J17" s="197"/>
      <c r="K17" s="218">
        <f t="shared" si="1"/>
        <v>0</v>
      </c>
      <c r="L17" s="201">
        <f t="shared" si="2"/>
        <v>0</v>
      </c>
      <c r="M17" s="200">
        <f t="shared" si="3"/>
        <v>0</v>
      </c>
      <c r="N17" s="200">
        <f t="shared" si="4"/>
        <v>0</v>
      </c>
      <c r="O17" s="200">
        <f t="shared" si="5"/>
        <v>0</v>
      </c>
      <c r="P17" s="217">
        <f t="shared" si="6"/>
        <v>0</v>
      </c>
    </row>
    <row r="18" spans="1:16" ht="22.5" x14ac:dyDescent="0.2">
      <c r="A18" s="274" t="str">
        <f>IF(COUNTBLANK(B18)=1," ",COUNTA(B$15:B18))</f>
        <v xml:space="preserve"> </v>
      </c>
      <c r="B18" s="198"/>
      <c r="C18" s="199" t="s">
        <v>226</v>
      </c>
      <c r="D18" s="128" t="s">
        <v>70</v>
      </c>
      <c r="E18" s="195">
        <v>245</v>
      </c>
      <c r="F18" s="196"/>
      <c r="G18" s="197"/>
      <c r="H18" s="200">
        <f t="shared" si="0"/>
        <v>0</v>
      </c>
      <c r="I18" s="197"/>
      <c r="J18" s="197"/>
      <c r="K18" s="218">
        <f t="shared" si="1"/>
        <v>0</v>
      </c>
      <c r="L18" s="201">
        <f t="shared" si="2"/>
        <v>0</v>
      </c>
      <c r="M18" s="200">
        <f t="shared" si="3"/>
        <v>0</v>
      </c>
      <c r="N18" s="200">
        <f t="shared" si="4"/>
        <v>0</v>
      </c>
      <c r="O18" s="200">
        <f t="shared" si="5"/>
        <v>0</v>
      </c>
      <c r="P18" s="217">
        <f t="shared" si="6"/>
        <v>0</v>
      </c>
    </row>
    <row r="19" spans="1:16" ht="22.5" x14ac:dyDescent="0.2">
      <c r="A19" s="274">
        <f>IF(COUNTBLANK(B19)=1," ",COUNTA(B$15:B19))</f>
        <v>3</v>
      </c>
      <c r="B19" s="198" t="s">
        <v>65</v>
      </c>
      <c r="C19" s="199" t="s">
        <v>227</v>
      </c>
      <c r="D19" s="128" t="s">
        <v>73</v>
      </c>
      <c r="E19" s="195">
        <v>18.375000000000004</v>
      </c>
      <c r="F19" s="196"/>
      <c r="G19" s="197"/>
      <c r="H19" s="200">
        <f t="shared" si="0"/>
        <v>0</v>
      </c>
      <c r="I19" s="197"/>
      <c r="J19" s="197"/>
      <c r="K19" s="218">
        <f t="shared" si="1"/>
        <v>0</v>
      </c>
      <c r="L19" s="201">
        <f t="shared" si="2"/>
        <v>0</v>
      </c>
      <c r="M19" s="200">
        <f t="shared" si="3"/>
        <v>0</v>
      </c>
      <c r="N19" s="200">
        <f t="shared" si="4"/>
        <v>0</v>
      </c>
      <c r="O19" s="200">
        <f t="shared" si="5"/>
        <v>0</v>
      </c>
      <c r="P19" s="217">
        <f t="shared" si="6"/>
        <v>0</v>
      </c>
    </row>
    <row r="20" spans="1:16" ht="22.5" x14ac:dyDescent="0.2">
      <c r="A20" s="274">
        <f>IF(COUNTBLANK(B20)=1," ",COUNTA(B$15:B20))</f>
        <v>4</v>
      </c>
      <c r="B20" s="198" t="s">
        <v>65</v>
      </c>
      <c r="C20" s="199" t="s">
        <v>228</v>
      </c>
      <c r="D20" s="128" t="s">
        <v>157</v>
      </c>
      <c r="E20" s="195">
        <v>0.12250000000000001</v>
      </c>
      <c r="F20" s="196"/>
      <c r="G20" s="197"/>
      <c r="H20" s="200">
        <f t="shared" si="0"/>
        <v>0</v>
      </c>
      <c r="I20" s="197"/>
      <c r="J20" s="197"/>
      <c r="K20" s="218">
        <f t="shared" si="1"/>
        <v>0</v>
      </c>
      <c r="L20" s="201">
        <f t="shared" si="2"/>
        <v>0</v>
      </c>
      <c r="M20" s="200">
        <f t="shared" si="3"/>
        <v>0</v>
      </c>
      <c r="N20" s="200">
        <f t="shared" si="4"/>
        <v>0</v>
      </c>
      <c r="O20" s="200">
        <f t="shared" si="5"/>
        <v>0</v>
      </c>
      <c r="P20" s="217">
        <f t="shared" si="6"/>
        <v>0</v>
      </c>
    </row>
    <row r="21" spans="1:16" x14ac:dyDescent="0.2">
      <c r="A21" s="274" t="str">
        <f>IF(COUNTBLANK(B21)=1," ",COUNTA(B$15:B21))</f>
        <v xml:space="preserve"> </v>
      </c>
      <c r="B21" s="198"/>
      <c r="C21" s="199" t="s">
        <v>187</v>
      </c>
      <c r="D21" s="128" t="s">
        <v>124</v>
      </c>
      <c r="E21" s="195">
        <v>0.12862500000000002</v>
      </c>
      <c r="F21" s="196"/>
      <c r="G21" s="197"/>
      <c r="H21" s="200">
        <f t="shared" si="0"/>
        <v>0</v>
      </c>
      <c r="I21" s="197"/>
      <c r="J21" s="197"/>
      <c r="K21" s="218">
        <f t="shared" si="1"/>
        <v>0</v>
      </c>
      <c r="L21" s="201">
        <f t="shared" si="2"/>
        <v>0</v>
      </c>
      <c r="M21" s="200">
        <f t="shared" si="3"/>
        <v>0</v>
      </c>
      <c r="N21" s="200">
        <f t="shared" si="4"/>
        <v>0</v>
      </c>
      <c r="O21" s="200">
        <f t="shared" si="5"/>
        <v>0</v>
      </c>
      <c r="P21" s="217">
        <f t="shared" si="6"/>
        <v>0</v>
      </c>
    </row>
    <row r="22" spans="1:16" ht="22.5" x14ac:dyDescent="0.2">
      <c r="A22" s="274">
        <f>IF(COUNTBLANK(B22)=1," ",COUNTA(B$15:B22))</f>
        <v>5</v>
      </c>
      <c r="B22" s="198" t="s">
        <v>65</v>
      </c>
      <c r="C22" s="199" t="s">
        <v>229</v>
      </c>
      <c r="D22" s="128" t="s">
        <v>73</v>
      </c>
      <c r="E22" s="195">
        <v>30.625</v>
      </c>
      <c r="F22" s="196"/>
      <c r="G22" s="197"/>
      <c r="H22" s="200">
        <f t="shared" si="0"/>
        <v>0</v>
      </c>
      <c r="I22" s="197"/>
      <c r="J22" s="197"/>
      <c r="K22" s="218">
        <f t="shared" si="1"/>
        <v>0</v>
      </c>
      <c r="L22" s="201">
        <f t="shared" si="2"/>
        <v>0</v>
      </c>
      <c r="M22" s="200">
        <f t="shared" si="3"/>
        <v>0</v>
      </c>
      <c r="N22" s="200">
        <f t="shared" si="4"/>
        <v>0</v>
      </c>
      <c r="O22" s="200">
        <f t="shared" si="5"/>
        <v>0</v>
      </c>
      <c r="P22" s="217">
        <f t="shared" si="6"/>
        <v>0</v>
      </c>
    </row>
    <row r="23" spans="1:16" x14ac:dyDescent="0.2">
      <c r="A23" s="274" t="str">
        <f>IF(COUNTBLANK(B23)=1," ",COUNTA(B$15:B23))</f>
        <v xml:space="preserve"> </v>
      </c>
      <c r="B23" s="198"/>
      <c r="C23" s="199" t="s">
        <v>230</v>
      </c>
      <c r="D23" s="128" t="s">
        <v>73</v>
      </c>
      <c r="E23" s="195">
        <v>32.15625</v>
      </c>
      <c r="F23" s="196"/>
      <c r="G23" s="197"/>
      <c r="H23" s="200">
        <f t="shared" si="0"/>
        <v>0</v>
      </c>
      <c r="I23" s="197"/>
      <c r="J23" s="197"/>
      <c r="K23" s="218">
        <f t="shared" si="1"/>
        <v>0</v>
      </c>
      <c r="L23" s="201">
        <f t="shared" si="2"/>
        <v>0</v>
      </c>
      <c r="M23" s="200">
        <f t="shared" si="3"/>
        <v>0</v>
      </c>
      <c r="N23" s="200">
        <f t="shared" si="4"/>
        <v>0</v>
      </c>
      <c r="O23" s="200">
        <f t="shared" si="5"/>
        <v>0</v>
      </c>
      <c r="P23" s="217">
        <f t="shared" si="6"/>
        <v>0</v>
      </c>
    </row>
    <row r="24" spans="1:16" ht="22.5" x14ac:dyDescent="0.2">
      <c r="A24" s="274" t="str">
        <f>IF(COUNTBLANK(B24)=1," ",COUNTA(B$15:B24))</f>
        <v xml:space="preserve"> </v>
      </c>
      <c r="B24" s="198"/>
      <c r="C24" s="199" t="s">
        <v>231</v>
      </c>
      <c r="D24" s="128" t="s">
        <v>83</v>
      </c>
      <c r="E24" s="195">
        <v>49.57421875</v>
      </c>
      <c r="F24" s="196"/>
      <c r="G24" s="197"/>
      <c r="H24" s="200">
        <f t="shared" si="0"/>
        <v>0</v>
      </c>
      <c r="I24" s="197"/>
      <c r="J24" s="197"/>
      <c r="K24" s="218">
        <f t="shared" si="1"/>
        <v>0</v>
      </c>
      <c r="L24" s="201">
        <f t="shared" si="2"/>
        <v>0</v>
      </c>
      <c r="M24" s="200">
        <f t="shared" si="3"/>
        <v>0</v>
      </c>
      <c r="N24" s="200">
        <f t="shared" si="4"/>
        <v>0</v>
      </c>
      <c r="O24" s="200">
        <f t="shared" si="5"/>
        <v>0</v>
      </c>
      <c r="P24" s="217">
        <f t="shared" si="6"/>
        <v>0</v>
      </c>
    </row>
    <row r="25" spans="1:16" ht="22.5" x14ac:dyDescent="0.2">
      <c r="A25" s="274" t="str">
        <f>IF(COUNTBLANK(B25)=1," ",COUNTA(B$15:B25))</f>
        <v xml:space="preserve"> </v>
      </c>
      <c r="B25" s="198"/>
      <c r="C25" s="199" t="s">
        <v>232</v>
      </c>
      <c r="D25" s="128" t="s">
        <v>70</v>
      </c>
      <c r="E25" s="195">
        <v>245</v>
      </c>
      <c r="F25" s="196"/>
      <c r="G25" s="197"/>
      <c r="H25" s="200">
        <f t="shared" si="0"/>
        <v>0</v>
      </c>
      <c r="I25" s="197"/>
      <c r="J25" s="197"/>
      <c r="K25" s="218">
        <f t="shared" si="1"/>
        <v>0</v>
      </c>
      <c r="L25" s="201">
        <f t="shared" si="2"/>
        <v>0</v>
      </c>
      <c r="M25" s="200">
        <f t="shared" si="3"/>
        <v>0</v>
      </c>
      <c r="N25" s="200">
        <f t="shared" si="4"/>
        <v>0</v>
      </c>
      <c r="O25" s="200">
        <f t="shared" si="5"/>
        <v>0</v>
      </c>
      <c r="P25" s="217">
        <f t="shared" si="6"/>
        <v>0</v>
      </c>
    </row>
    <row r="26" spans="1:16" x14ac:dyDescent="0.2">
      <c r="A26" s="274">
        <f>IF(COUNTBLANK(B26)=1," ",COUNTA(B$15:B26))</f>
        <v>6</v>
      </c>
      <c r="B26" s="198" t="s">
        <v>65</v>
      </c>
      <c r="C26" s="199" t="s">
        <v>233</v>
      </c>
      <c r="D26" s="128" t="s">
        <v>67</v>
      </c>
      <c r="E26" s="307">
        <f>63.54*2</f>
        <v>127.08</v>
      </c>
      <c r="F26" s="196"/>
      <c r="G26" s="197"/>
      <c r="H26" s="200">
        <f t="shared" si="0"/>
        <v>0</v>
      </c>
      <c r="I26" s="197"/>
      <c r="J26" s="197"/>
      <c r="K26" s="218">
        <f t="shared" si="1"/>
        <v>0</v>
      </c>
      <c r="L26" s="201">
        <f t="shared" si="2"/>
        <v>0</v>
      </c>
      <c r="M26" s="200">
        <f t="shared" si="3"/>
        <v>0</v>
      </c>
      <c r="N26" s="200">
        <f t="shared" si="4"/>
        <v>0</v>
      </c>
      <c r="O26" s="200">
        <f t="shared" si="5"/>
        <v>0</v>
      </c>
      <c r="P26" s="217">
        <f t="shared" si="6"/>
        <v>0</v>
      </c>
    </row>
    <row r="27" spans="1:16" ht="22.5" x14ac:dyDescent="0.2">
      <c r="A27" s="274" t="str">
        <f>IF(COUNTBLANK(B27)=1," ",COUNTA(B$15:B27))</f>
        <v xml:space="preserve"> </v>
      </c>
      <c r="B27" s="198"/>
      <c r="C27" s="199" t="s">
        <v>234</v>
      </c>
      <c r="D27" s="128"/>
      <c r="E27" s="195">
        <v>0</v>
      </c>
      <c r="F27" s="196"/>
      <c r="G27" s="197"/>
      <c r="H27" s="200">
        <f t="shared" si="0"/>
        <v>0</v>
      </c>
      <c r="I27" s="197"/>
      <c r="J27" s="197"/>
      <c r="K27" s="218">
        <f t="shared" si="1"/>
        <v>0</v>
      </c>
      <c r="L27" s="201">
        <f t="shared" si="2"/>
        <v>0</v>
      </c>
      <c r="M27" s="200">
        <f t="shared" si="3"/>
        <v>0</v>
      </c>
      <c r="N27" s="200">
        <f t="shared" si="4"/>
        <v>0</v>
      </c>
      <c r="O27" s="200">
        <f t="shared" si="5"/>
        <v>0</v>
      </c>
      <c r="P27" s="217">
        <f t="shared" si="6"/>
        <v>0</v>
      </c>
    </row>
    <row r="28" spans="1:16" ht="22.5" x14ac:dyDescent="0.2">
      <c r="A28" s="274">
        <f>IF(COUNTBLANK(B28)=1," ",COUNTA(B$15:B28))</f>
        <v>7</v>
      </c>
      <c r="B28" s="198" t="s">
        <v>65</v>
      </c>
      <c r="C28" s="199" t="s">
        <v>235</v>
      </c>
      <c r="D28" s="128" t="s">
        <v>67</v>
      </c>
      <c r="E28" s="307">
        <f>2*12</f>
        <v>24</v>
      </c>
      <c r="F28" s="196"/>
      <c r="G28" s="197"/>
      <c r="H28" s="200">
        <f t="shared" si="0"/>
        <v>0</v>
      </c>
      <c r="I28" s="197"/>
      <c r="J28" s="197"/>
      <c r="K28" s="218">
        <f t="shared" si="1"/>
        <v>0</v>
      </c>
      <c r="L28" s="201">
        <f t="shared" si="2"/>
        <v>0</v>
      </c>
      <c r="M28" s="200">
        <f t="shared" si="3"/>
        <v>0</v>
      </c>
      <c r="N28" s="200">
        <f t="shared" si="4"/>
        <v>0</v>
      </c>
      <c r="O28" s="200">
        <f t="shared" si="5"/>
        <v>0</v>
      </c>
      <c r="P28" s="217">
        <f t="shared" si="6"/>
        <v>0</v>
      </c>
    </row>
    <row r="29" spans="1:16" ht="22.5" x14ac:dyDescent="0.2">
      <c r="A29" s="274" t="str">
        <f>IF(COUNTBLANK(B29)=1," ",COUNTA(B$15:B29))</f>
        <v xml:space="preserve"> </v>
      </c>
      <c r="B29" s="198"/>
      <c r="C29" s="199" t="s">
        <v>236</v>
      </c>
      <c r="D29" s="128" t="s">
        <v>157</v>
      </c>
      <c r="E29" s="307">
        <f>0.72*0.3*E28</f>
        <v>5.1840000000000002</v>
      </c>
      <c r="F29" s="196"/>
      <c r="G29" s="197"/>
      <c r="H29" s="200">
        <f t="shared" si="0"/>
        <v>0</v>
      </c>
      <c r="I29" s="197"/>
      <c r="J29" s="197"/>
      <c r="K29" s="218">
        <f t="shared" si="1"/>
        <v>0</v>
      </c>
      <c r="L29" s="201">
        <f t="shared" si="2"/>
        <v>0</v>
      </c>
      <c r="M29" s="200">
        <f t="shared" si="3"/>
        <v>0</v>
      </c>
      <c r="N29" s="200">
        <f t="shared" si="4"/>
        <v>0</v>
      </c>
      <c r="O29" s="200">
        <f t="shared" si="5"/>
        <v>0</v>
      </c>
      <c r="P29" s="217">
        <f t="shared" si="6"/>
        <v>0</v>
      </c>
    </row>
    <row r="30" spans="1:16" ht="22.5" x14ac:dyDescent="0.2">
      <c r="A30" s="274">
        <f>IF(COUNTBLANK(B30)=1," ",COUNTA(B$15:B30))</f>
        <v>8</v>
      </c>
      <c r="B30" s="198" t="s">
        <v>65</v>
      </c>
      <c r="C30" s="199" t="s">
        <v>237</v>
      </c>
      <c r="D30" s="128" t="s">
        <v>73</v>
      </c>
      <c r="E30" s="307">
        <v>7.2</v>
      </c>
      <c r="F30" s="196"/>
      <c r="G30" s="197"/>
      <c r="H30" s="200">
        <f t="shared" si="0"/>
        <v>0</v>
      </c>
      <c r="I30" s="197"/>
      <c r="J30" s="197"/>
      <c r="K30" s="218">
        <f t="shared" si="1"/>
        <v>0</v>
      </c>
      <c r="L30" s="201">
        <f t="shared" si="2"/>
        <v>0</v>
      </c>
      <c r="M30" s="200">
        <f t="shared" si="3"/>
        <v>0</v>
      </c>
      <c r="N30" s="200">
        <f t="shared" si="4"/>
        <v>0</v>
      </c>
      <c r="O30" s="200">
        <f t="shared" si="5"/>
        <v>0</v>
      </c>
      <c r="P30" s="217">
        <f t="shared" si="6"/>
        <v>0</v>
      </c>
    </row>
    <row r="31" spans="1:16" ht="22.5" x14ac:dyDescent="0.2">
      <c r="A31" s="274">
        <f>IF(COUNTBLANK(B31)=1," ",COUNTA(B$15:B31))</f>
        <v>9</v>
      </c>
      <c r="B31" s="198" t="s">
        <v>65</v>
      </c>
      <c r="C31" s="199" t="s">
        <v>238</v>
      </c>
      <c r="D31" s="128" t="s">
        <v>73</v>
      </c>
      <c r="E31" s="307">
        <v>24</v>
      </c>
      <c r="F31" s="196"/>
      <c r="G31" s="197"/>
      <c r="H31" s="200">
        <f t="shared" si="0"/>
        <v>0</v>
      </c>
      <c r="I31" s="197"/>
      <c r="J31" s="197"/>
      <c r="K31" s="218">
        <f t="shared" si="1"/>
        <v>0</v>
      </c>
      <c r="L31" s="201">
        <f t="shared" si="2"/>
        <v>0</v>
      </c>
      <c r="M31" s="200">
        <f t="shared" si="3"/>
        <v>0</v>
      </c>
      <c r="N31" s="200">
        <f t="shared" si="4"/>
        <v>0</v>
      </c>
      <c r="O31" s="200">
        <f t="shared" si="5"/>
        <v>0</v>
      </c>
      <c r="P31" s="217">
        <f t="shared" si="6"/>
        <v>0</v>
      </c>
    </row>
    <row r="32" spans="1:16" x14ac:dyDescent="0.2">
      <c r="A32" s="274" t="str">
        <f>IF(COUNTBLANK(B32)=1," ",COUNTA(B$15:B32))</f>
        <v xml:space="preserve"> </v>
      </c>
      <c r="B32" s="198"/>
      <c r="C32" s="199" t="s">
        <v>230</v>
      </c>
      <c r="D32" s="128" t="s">
        <v>73</v>
      </c>
      <c r="E32" s="307">
        <f>E31*1.15</f>
        <v>27.599999999999998</v>
      </c>
      <c r="F32" s="196"/>
      <c r="G32" s="197"/>
      <c r="H32" s="200">
        <f t="shared" si="0"/>
        <v>0</v>
      </c>
      <c r="I32" s="197"/>
      <c r="J32" s="197"/>
      <c r="K32" s="218">
        <f t="shared" si="1"/>
        <v>0</v>
      </c>
      <c r="L32" s="201">
        <f t="shared" si="2"/>
        <v>0</v>
      </c>
      <c r="M32" s="200">
        <f t="shared" si="3"/>
        <v>0</v>
      </c>
      <c r="N32" s="200">
        <f t="shared" si="4"/>
        <v>0</v>
      </c>
      <c r="O32" s="200">
        <f t="shared" si="5"/>
        <v>0</v>
      </c>
      <c r="P32" s="217">
        <f t="shared" si="6"/>
        <v>0</v>
      </c>
    </row>
    <row r="33" spans="1:16" ht="22.5" x14ac:dyDescent="0.2">
      <c r="A33" s="274" t="str">
        <f>IF(COUNTBLANK(B33)=1," ",COUNTA(B$15:B33))</f>
        <v xml:space="preserve"> </v>
      </c>
      <c r="B33" s="198"/>
      <c r="C33" s="199" t="s">
        <v>239</v>
      </c>
      <c r="D33" s="128" t="s">
        <v>70</v>
      </c>
      <c r="E33" s="307">
        <f>24/0.5</f>
        <v>48</v>
      </c>
      <c r="F33" s="196"/>
      <c r="G33" s="197"/>
      <c r="H33" s="200">
        <f t="shared" si="0"/>
        <v>0</v>
      </c>
      <c r="I33" s="197"/>
      <c r="J33" s="197"/>
      <c r="K33" s="218">
        <f t="shared" si="1"/>
        <v>0</v>
      </c>
      <c r="L33" s="201">
        <f t="shared" si="2"/>
        <v>0</v>
      </c>
      <c r="M33" s="200">
        <f t="shared" si="3"/>
        <v>0</v>
      </c>
      <c r="N33" s="200">
        <f t="shared" si="4"/>
        <v>0</v>
      </c>
      <c r="O33" s="200">
        <f t="shared" si="5"/>
        <v>0</v>
      </c>
      <c r="P33" s="217">
        <f t="shared" si="6"/>
        <v>0</v>
      </c>
    </row>
    <row r="34" spans="1:16" ht="22.5" x14ac:dyDescent="0.2">
      <c r="A34" s="274" t="str">
        <f>IF(COUNTBLANK(B34)=1," ",COUNTA(B$15:B34))</f>
        <v xml:space="preserve"> </v>
      </c>
      <c r="B34" s="198"/>
      <c r="C34" s="199" t="s">
        <v>240</v>
      </c>
      <c r="D34" s="128" t="s">
        <v>70</v>
      </c>
      <c r="E34" s="307">
        <f>E33*2</f>
        <v>96</v>
      </c>
      <c r="F34" s="196"/>
      <c r="G34" s="197"/>
      <c r="H34" s="200">
        <f t="shared" si="0"/>
        <v>0</v>
      </c>
      <c r="I34" s="197"/>
      <c r="J34" s="197"/>
      <c r="K34" s="218">
        <f t="shared" si="1"/>
        <v>0</v>
      </c>
      <c r="L34" s="201">
        <f t="shared" si="2"/>
        <v>0</v>
      </c>
      <c r="M34" s="200">
        <f t="shared" si="3"/>
        <v>0</v>
      </c>
      <c r="N34" s="200">
        <f t="shared" si="4"/>
        <v>0</v>
      </c>
      <c r="O34" s="200">
        <f t="shared" si="5"/>
        <v>0</v>
      </c>
      <c r="P34" s="217">
        <f t="shared" si="6"/>
        <v>0</v>
      </c>
    </row>
    <row r="35" spans="1:16" ht="22.5" x14ac:dyDescent="0.2">
      <c r="A35" s="274">
        <f>IF(COUNTBLANK(B35)=1," ",COUNTA(B$15:B35))</f>
        <v>10</v>
      </c>
      <c r="B35" s="198" t="s">
        <v>65</v>
      </c>
      <c r="C35" s="199" t="s">
        <v>241</v>
      </c>
      <c r="D35" s="128" t="s">
        <v>67</v>
      </c>
      <c r="E35" s="307">
        <f>E28</f>
        <v>24</v>
      </c>
      <c r="F35" s="196"/>
      <c r="G35" s="197"/>
      <c r="H35" s="200">
        <f t="shared" si="0"/>
        <v>0</v>
      </c>
      <c r="I35" s="197"/>
      <c r="J35" s="197"/>
      <c r="K35" s="218">
        <f t="shared" si="1"/>
        <v>0</v>
      </c>
      <c r="L35" s="201">
        <f t="shared" si="2"/>
        <v>0</v>
      </c>
      <c r="M35" s="200">
        <f t="shared" si="3"/>
        <v>0</v>
      </c>
      <c r="N35" s="200">
        <f t="shared" si="4"/>
        <v>0</v>
      </c>
      <c r="O35" s="200">
        <f t="shared" si="5"/>
        <v>0</v>
      </c>
      <c r="P35" s="217">
        <f t="shared" si="6"/>
        <v>0</v>
      </c>
    </row>
    <row r="36" spans="1:16" x14ac:dyDescent="0.2">
      <c r="A36" s="274" t="str">
        <f>IF(COUNTBLANK(B36)=1," ",COUNTA(B$15:B36))</f>
        <v xml:space="preserve"> </v>
      </c>
      <c r="B36" s="198"/>
      <c r="C36" s="199" t="s">
        <v>242</v>
      </c>
      <c r="D36" s="128"/>
      <c r="E36" s="195">
        <v>0</v>
      </c>
      <c r="F36" s="196"/>
      <c r="G36" s="197"/>
      <c r="H36" s="200">
        <f t="shared" si="0"/>
        <v>0</v>
      </c>
      <c r="I36" s="197"/>
      <c r="J36" s="197"/>
      <c r="K36" s="218">
        <f t="shared" si="1"/>
        <v>0</v>
      </c>
      <c r="L36" s="201">
        <f t="shared" si="2"/>
        <v>0</v>
      </c>
      <c r="M36" s="200">
        <f t="shared" si="3"/>
        <v>0</v>
      </c>
      <c r="N36" s="200">
        <f t="shared" si="4"/>
        <v>0</v>
      </c>
      <c r="O36" s="200">
        <f t="shared" si="5"/>
        <v>0</v>
      </c>
      <c r="P36" s="217">
        <f t="shared" si="6"/>
        <v>0</v>
      </c>
    </row>
    <row r="37" spans="1:16" ht="22.5" x14ac:dyDescent="0.2">
      <c r="A37" s="274">
        <f>IF(COUNTBLANK(B37)=1," ",COUNTA(B$15:B37))</f>
        <v>11</v>
      </c>
      <c r="B37" s="198" t="s">
        <v>65</v>
      </c>
      <c r="C37" s="199" t="s">
        <v>365</v>
      </c>
      <c r="D37" s="128" t="s">
        <v>67</v>
      </c>
      <c r="E37" s="195">
        <v>151.19999999999999</v>
      </c>
      <c r="F37" s="196"/>
      <c r="G37" s="197"/>
      <c r="H37" s="200">
        <f t="shared" si="0"/>
        <v>0</v>
      </c>
      <c r="I37" s="197"/>
      <c r="J37" s="197"/>
      <c r="K37" s="218">
        <f t="shared" si="1"/>
        <v>0</v>
      </c>
      <c r="L37" s="201">
        <f t="shared" si="2"/>
        <v>0</v>
      </c>
      <c r="M37" s="200">
        <f t="shared" si="3"/>
        <v>0</v>
      </c>
      <c r="N37" s="200">
        <f t="shared" si="4"/>
        <v>0</v>
      </c>
      <c r="O37" s="200">
        <f t="shared" si="5"/>
        <v>0</v>
      </c>
      <c r="P37" s="217">
        <f t="shared" si="6"/>
        <v>0</v>
      </c>
    </row>
    <row r="38" spans="1:16" ht="22.5" x14ac:dyDescent="0.2">
      <c r="A38" s="274" t="str">
        <f>IF(COUNTBLANK(B38)=1," ",COUNTA(B$15:B38))</f>
        <v xml:space="preserve"> </v>
      </c>
      <c r="B38" s="198"/>
      <c r="C38" s="199" t="s">
        <v>360</v>
      </c>
      <c r="D38" s="128" t="s">
        <v>83</v>
      </c>
      <c r="E38" s="195">
        <f>5.99*151</f>
        <v>904.49</v>
      </c>
      <c r="F38" s="196"/>
      <c r="G38" s="197"/>
      <c r="H38" s="200">
        <f t="shared" si="0"/>
        <v>0</v>
      </c>
      <c r="I38" s="197"/>
      <c r="J38" s="197"/>
      <c r="K38" s="218">
        <f t="shared" si="1"/>
        <v>0</v>
      </c>
      <c r="L38" s="201">
        <f t="shared" si="2"/>
        <v>0</v>
      </c>
      <c r="M38" s="200">
        <f t="shared" si="3"/>
        <v>0</v>
      </c>
      <c r="N38" s="200">
        <f t="shared" si="4"/>
        <v>0</v>
      </c>
      <c r="O38" s="200">
        <f t="shared" si="5"/>
        <v>0</v>
      </c>
      <c r="P38" s="217">
        <f t="shared" si="6"/>
        <v>0</v>
      </c>
    </row>
    <row r="39" spans="1:16" x14ac:dyDescent="0.2">
      <c r="A39" s="274" t="str">
        <f>IF(COUNTBLANK(B39)=1," ",COUNTA(B$15:B39))</f>
        <v xml:space="preserve"> </v>
      </c>
      <c r="B39" s="198"/>
      <c r="C39" s="199" t="s">
        <v>361</v>
      </c>
      <c r="D39" s="128" t="s">
        <v>83</v>
      </c>
      <c r="E39" s="195">
        <f>0.69*151</f>
        <v>104.19</v>
      </c>
      <c r="F39" s="196"/>
      <c r="G39" s="197"/>
      <c r="H39" s="200"/>
      <c r="I39" s="197"/>
      <c r="J39" s="197"/>
      <c r="K39" s="218"/>
      <c r="L39" s="201">
        <f t="shared" si="2"/>
        <v>0</v>
      </c>
      <c r="M39" s="200"/>
      <c r="N39" s="200">
        <f t="shared" si="4"/>
        <v>0</v>
      </c>
      <c r="O39" s="200">
        <f t="shared" si="5"/>
        <v>0</v>
      </c>
      <c r="P39" s="217"/>
    </row>
    <row r="40" spans="1:16" x14ac:dyDescent="0.2">
      <c r="A40" s="274" t="str">
        <f>IF(COUNTBLANK(B40)=1," ",COUNTA(B$15:B40))</f>
        <v xml:space="preserve"> </v>
      </c>
      <c r="B40" s="198"/>
      <c r="C40" s="199" t="s">
        <v>362</v>
      </c>
      <c r="D40" s="128" t="s">
        <v>83</v>
      </c>
      <c r="E40" s="195">
        <f>2.81*E37*2</f>
        <v>849.74399999999991</v>
      </c>
      <c r="F40" s="196"/>
      <c r="G40" s="197"/>
      <c r="H40" s="200">
        <f t="shared" si="0"/>
        <v>0</v>
      </c>
      <c r="I40" s="197"/>
      <c r="J40" s="197"/>
      <c r="K40" s="218">
        <f t="shared" si="1"/>
        <v>0</v>
      </c>
      <c r="L40" s="201">
        <f t="shared" si="2"/>
        <v>0</v>
      </c>
      <c r="M40" s="200">
        <f t="shared" si="3"/>
        <v>0</v>
      </c>
      <c r="N40" s="200">
        <f t="shared" si="4"/>
        <v>0</v>
      </c>
      <c r="O40" s="200">
        <f t="shared" si="5"/>
        <v>0</v>
      </c>
      <c r="P40" s="217">
        <f t="shared" si="6"/>
        <v>0</v>
      </c>
    </row>
    <row r="41" spans="1:16" ht="22.5" x14ac:dyDescent="0.2">
      <c r="A41" s="274" t="str">
        <f>IF(COUNTBLANK(B41)=1," ",COUNTA(B$15:B41))</f>
        <v xml:space="preserve"> </v>
      </c>
      <c r="B41" s="198"/>
      <c r="C41" s="199" t="s">
        <v>243</v>
      </c>
      <c r="D41" s="128" t="s">
        <v>70</v>
      </c>
      <c r="E41" s="195">
        <f>4*151</f>
        <v>604</v>
      </c>
      <c r="F41" s="196"/>
      <c r="G41" s="197"/>
      <c r="H41" s="200">
        <f t="shared" si="0"/>
        <v>0</v>
      </c>
      <c r="I41" s="197"/>
      <c r="J41" s="197"/>
      <c r="K41" s="218">
        <f t="shared" si="1"/>
        <v>0</v>
      </c>
      <c r="L41" s="201">
        <f t="shared" si="2"/>
        <v>0</v>
      </c>
      <c r="M41" s="200">
        <f t="shared" si="3"/>
        <v>0</v>
      </c>
      <c r="N41" s="200">
        <f t="shared" si="4"/>
        <v>0</v>
      </c>
      <c r="O41" s="200">
        <f t="shared" si="5"/>
        <v>0</v>
      </c>
      <c r="P41" s="217">
        <f t="shared" si="6"/>
        <v>0</v>
      </c>
    </row>
    <row r="42" spans="1:16" x14ac:dyDescent="0.2">
      <c r="A42" s="274">
        <f>IF(COUNTBLANK(B42)=1," ",COUNTA(B$15:B42))</f>
        <v>12</v>
      </c>
      <c r="B42" s="198" t="s">
        <v>65</v>
      </c>
      <c r="C42" s="199" t="s">
        <v>363</v>
      </c>
      <c r="D42" s="128" t="s">
        <v>73</v>
      </c>
      <c r="E42" s="307">
        <v>75</v>
      </c>
      <c r="F42" s="196"/>
      <c r="G42" s="197"/>
      <c r="H42" s="200">
        <f t="shared" si="0"/>
        <v>0</v>
      </c>
      <c r="I42" s="197"/>
      <c r="J42" s="197"/>
      <c r="K42" s="218">
        <f t="shared" si="1"/>
        <v>0</v>
      </c>
      <c r="L42" s="201">
        <f t="shared" si="2"/>
        <v>0</v>
      </c>
      <c r="M42" s="200">
        <f t="shared" si="3"/>
        <v>0</v>
      </c>
      <c r="N42" s="200">
        <f t="shared" si="4"/>
        <v>0</v>
      </c>
      <c r="O42" s="200">
        <f t="shared" si="5"/>
        <v>0</v>
      </c>
      <c r="P42" s="217">
        <f t="shared" si="6"/>
        <v>0</v>
      </c>
    </row>
    <row r="43" spans="1:16" x14ac:dyDescent="0.2">
      <c r="A43" s="274" t="str">
        <f>IF(COUNTBLANK(B43)=1," ",COUNTA(B$15:B43))</f>
        <v xml:space="preserve"> </v>
      </c>
      <c r="B43" s="198"/>
      <c r="C43" s="199" t="s">
        <v>244</v>
      </c>
      <c r="D43" s="128" t="s">
        <v>364</v>
      </c>
      <c r="E43" s="307">
        <f>E42/10</f>
        <v>7.5</v>
      </c>
      <c r="F43" s="196"/>
      <c r="G43" s="197"/>
      <c r="H43" s="200">
        <f t="shared" si="0"/>
        <v>0</v>
      </c>
      <c r="I43" s="197"/>
      <c r="J43" s="197"/>
      <c r="K43" s="218">
        <f t="shared" si="1"/>
        <v>0</v>
      </c>
      <c r="L43" s="201">
        <f t="shared" si="2"/>
        <v>0</v>
      </c>
      <c r="M43" s="200">
        <f t="shared" si="3"/>
        <v>0</v>
      </c>
      <c r="N43" s="200">
        <f t="shared" si="4"/>
        <v>0</v>
      </c>
      <c r="O43" s="200">
        <f t="shared" si="5"/>
        <v>0</v>
      </c>
      <c r="P43" s="217">
        <f t="shared" si="6"/>
        <v>0</v>
      </c>
    </row>
    <row r="44" spans="1:16" x14ac:dyDescent="0.2">
      <c r="A44" s="274">
        <f>IF(COUNTBLANK(B44)=1," ",COUNTA(B$15:B44))</f>
        <v>13</v>
      </c>
      <c r="B44" s="198" t="s">
        <v>65</v>
      </c>
      <c r="C44" s="199" t="s">
        <v>245</v>
      </c>
      <c r="D44" s="128" t="s">
        <v>67</v>
      </c>
      <c r="E44" s="195">
        <f>0.12*4*151</f>
        <v>72.48</v>
      </c>
      <c r="F44" s="196"/>
      <c r="G44" s="197"/>
      <c r="H44" s="200">
        <f t="shared" si="0"/>
        <v>0</v>
      </c>
      <c r="I44" s="197"/>
      <c r="J44" s="197"/>
      <c r="K44" s="218">
        <f t="shared" si="1"/>
        <v>0</v>
      </c>
      <c r="L44" s="201">
        <f t="shared" si="2"/>
        <v>0</v>
      </c>
      <c r="M44" s="200">
        <f t="shared" si="3"/>
        <v>0</v>
      </c>
      <c r="N44" s="200">
        <f t="shared" si="4"/>
        <v>0</v>
      </c>
      <c r="O44" s="200">
        <f t="shared" si="5"/>
        <v>0</v>
      </c>
      <c r="P44" s="217">
        <f t="shared" si="6"/>
        <v>0</v>
      </c>
    </row>
    <row r="45" spans="1:16" ht="13.5" customHeight="1" x14ac:dyDescent="0.2">
      <c r="A45" s="274" t="str">
        <f>IF(COUNTBLANK(B45)=1," ",COUNTA(B$15:B45))</f>
        <v xml:space="preserve"> </v>
      </c>
      <c r="B45" s="198"/>
      <c r="C45" s="199" t="s">
        <v>246</v>
      </c>
      <c r="D45" s="128"/>
      <c r="E45" s="195">
        <v>0</v>
      </c>
      <c r="F45" s="196"/>
      <c r="G45" s="197"/>
      <c r="H45" s="200">
        <f t="shared" si="0"/>
        <v>0</v>
      </c>
      <c r="I45" s="197"/>
      <c r="J45" s="197"/>
      <c r="K45" s="218">
        <f t="shared" si="1"/>
        <v>0</v>
      </c>
      <c r="L45" s="201">
        <f t="shared" si="2"/>
        <v>0</v>
      </c>
      <c r="M45" s="200">
        <f t="shared" si="3"/>
        <v>0</v>
      </c>
      <c r="N45" s="200">
        <f t="shared" si="4"/>
        <v>0</v>
      </c>
      <c r="O45" s="200">
        <f t="shared" si="5"/>
        <v>0</v>
      </c>
      <c r="P45" s="217">
        <f t="shared" si="6"/>
        <v>0</v>
      </c>
    </row>
    <row r="46" spans="1:16" ht="33.75" x14ac:dyDescent="0.2">
      <c r="A46" s="274">
        <f>IF(COUNTBLANK(B46)=1," ",COUNTA(B$15:B46))</f>
        <v>14</v>
      </c>
      <c r="B46" s="198" t="s">
        <v>65</v>
      </c>
      <c r="C46" s="199" t="s">
        <v>247</v>
      </c>
      <c r="D46" s="128" t="s">
        <v>73</v>
      </c>
      <c r="E46" s="195">
        <v>75</v>
      </c>
      <c r="F46" s="196"/>
      <c r="G46" s="197"/>
      <c r="H46" s="200">
        <f t="shared" si="0"/>
        <v>0</v>
      </c>
      <c r="I46" s="197"/>
      <c r="J46" s="197"/>
      <c r="K46" s="218">
        <f t="shared" si="1"/>
        <v>0</v>
      </c>
      <c r="L46" s="201">
        <f t="shared" si="2"/>
        <v>0</v>
      </c>
      <c r="M46" s="200">
        <f t="shared" si="3"/>
        <v>0</v>
      </c>
      <c r="N46" s="200">
        <f t="shared" si="4"/>
        <v>0</v>
      </c>
      <c r="O46" s="200">
        <f t="shared" si="5"/>
        <v>0</v>
      </c>
      <c r="P46" s="217">
        <f t="shared" si="6"/>
        <v>0</v>
      </c>
    </row>
    <row r="47" spans="1:16" ht="22.5" x14ac:dyDescent="0.2">
      <c r="A47" s="274">
        <f>IF(COUNTBLANK(B47)=1," ",COUNTA(B$15:B47))</f>
        <v>15</v>
      </c>
      <c r="B47" s="198" t="s">
        <v>65</v>
      </c>
      <c r="C47" s="199" t="s">
        <v>248</v>
      </c>
      <c r="D47" s="128" t="s">
        <v>67</v>
      </c>
      <c r="E47" s="307">
        <f>(14.6*8)+(8*4)</f>
        <v>148.80000000000001</v>
      </c>
      <c r="F47" s="196"/>
      <c r="G47" s="197"/>
      <c r="H47" s="200">
        <f t="shared" si="0"/>
        <v>0</v>
      </c>
      <c r="I47" s="197"/>
      <c r="J47" s="197"/>
      <c r="K47" s="218">
        <f t="shared" si="1"/>
        <v>0</v>
      </c>
      <c r="L47" s="201">
        <f t="shared" si="2"/>
        <v>0</v>
      </c>
      <c r="M47" s="200">
        <f t="shared" si="3"/>
        <v>0</v>
      </c>
      <c r="N47" s="200">
        <f t="shared" si="4"/>
        <v>0</v>
      </c>
      <c r="O47" s="200">
        <f t="shared" si="5"/>
        <v>0</v>
      </c>
      <c r="P47" s="217">
        <f t="shared" si="6"/>
        <v>0</v>
      </c>
    </row>
    <row r="48" spans="1:16" ht="22.5" x14ac:dyDescent="0.2">
      <c r="A48" s="274" t="str">
        <f>IF(COUNTBLANK(B48)=1," ",COUNTA(B$15:B48))</f>
        <v xml:space="preserve"> </v>
      </c>
      <c r="B48" s="198"/>
      <c r="C48" s="199" t="s">
        <v>249</v>
      </c>
      <c r="D48" s="128"/>
      <c r="E48" s="195">
        <v>0</v>
      </c>
      <c r="F48" s="196"/>
      <c r="G48" s="197"/>
      <c r="H48" s="200">
        <f t="shared" si="0"/>
        <v>0</v>
      </c>
      <c r="I48" s="197"/>
      <c r="J48" s="197"/>
      <c r="K48" s="218">
        <f t="shared" si="1"/>
        <v>0</v>
      </c>
      <c r="L48" s="201">
        <f t="shared" si="2"/>
        <v>0</v>
      </c>
      <c r="M48" s="200">
        <f t="shared" si="3"/>
        <v>0</v>
      </c>
      <c r="N48" s="200">
        <f t="shared" si="4"/>
        <v>0</v>
      </c>
      <c r="O48" s="200">
        <f t="shared" si="5"/>
        <v>0</v>
      </c>
      <c r="P48" s="217">
        <f t="shared" si="6"/>
        <v>0</v>
      </c>
    </row>
    <row r="49" spans="1:16" ht="22.5" x14ac:dyDescent="0.2">
      <c r="A49" s="274">
        <f>IF(COUNTBLANK(B49)=1," ",COUNTA(B$15:B49))</f>
        <v>16</v>
      </c>
      <c r="B49" s="198" t="s">
        <v>65</v>
      </c>
      <c r="C49" s="199" t="s">
        <v>250</v>
      </c>
      <c r="D49" s="128" t="s">
        <v>73</v>
      </c>
      <c r="E49" s="195">
        <v>75</v>
      </c>
      <c r="F49" s="196"/>
      <c r="G49" s="197"/>
      <c r="H49" s="200">
        <f t="shared" si="0"/>
        <v>0</v>
      </c>
      <c r="I49" s="197"/>
      <c r="J49" s="197"/>
      <c r="K49" s="218">
        <f t="shared" si="1"/>
        <v>0</v>
      </c>
      <c r="L49" s="201">
        <f t="shared" si="2"/>
        <v>0</v>
      </c>
      <c r="M49" s="200">
        <f t="shared" si="3"/>
        <v>0</v>
      </c>
      <c r="N49" s="200">
        <f t="shared" si="4"/>
        <v>0</v>
      </c>
      <c r="O49" s="200">
        <f t="shared" si="5"/>
        <v>0</v>
      </c>
      <c r="P49" s="217">
        <f t="shared" si="6"/>
        <v>0</v>
      </c>
    </row>
    <row r="50" spans="1:16" x14ac:dyDescent="0.2">
      <c r="A50" s="274" t="str">
        <f>IF(COUNTBLANK(B50)=1," ",COUNTA(B$15:B50))</f>
        <v xml:space="preserve"> </v>
      </c>
      <c r="B50" s="198"/>
      <c r="C50" s="199" t="s">
        <v>251</v>
      </c>
      <c r="D50" s="128"/>
      <c r="E50" s="195">
        <v>0</v>
      </c>
      <c r="F50" s="196"/>
      <c r="G50" s="197"/>
      <c r="H50" s="200">
        <f t="shared" si="0"/>
        <v>0</v>
      </c>
      <c r="I50" s="197"/>
      <c r="J50" s="197"/>
      <c r="K50" s="218">
        <f t="shared" si="1"/>
        <v>0</v>
      </c>
      <c r="L50" s="201">
        <f t="shared" si="2"/>
        <v>0</v>
      </c>
      <c r="M50" s="200">
        <f t="shared" si="3"/>
        <v>0</v>
      </c>
      <c r="N50" s="200">
        <f t="shared" si="4"/>
        <v>0</v>
      </c>
      <c r="O50" s="200">
        <f t="shared" si="5"/>
        <v>0</v>
      </c>
      <c r="P50" s="217">
        <f t="shared" si="6"/>
        <v>0</v>
      </c>
    </row>
    <row r="51" spans="1:16" ht="22.5" x14ac:dyDescent="0.2">
      <c r="A51" s="274">
        <f>IF(COUNTBLANK(B51)=1," ",COUNTA(B$15:B51))</f>
        <v>17</v>
      </c>
      <c r="B51" s="198" t="s">
        <v>65</v>
      </c>
      <c r="C51" s="199" t="s">
        <v>252</v>
      </c>
      <c r="D51" s="128" t="s">
        <v>73</v>
      </c>
      <c r="E51" s="195">
        <v>50</v>
      </c>
      <c r="F51" s="196"/>
      <c r="G51" s="197"/>
      <c r="H51" s="200">
        <f t="shared" si="0"/>
        <v>0</v>
      </c>
      <c r="I51" s="197"/>
      <c r="J51" s="197"/>
      <c r="K51" s="218">
        <f t="shared" si="1"/>
        <v>0</v>
      </c>
      <c r="L51" s="201">
        <f t="shared" si="2"/>
        <v>0</v>
      </c>
      <c r="M51" s="200">
        <f t="shared" si="3"/>
        <v>0</v>
      </c>
      <c r="N51" s="200">
        <f t="shared" si="4"/>
        <v>0</v>
      </c>
      <c r="O51" s="200">
        <f t="shared" si="5"/>
        <v>0</v>
      </c>
      <c r="P51" s="217">
        <f t="shared" si="6"/>
        <v>0</v>
      </c>
    </row>
    <row r="52" spans="1:16" ht="22.5" x14ac:dyDescent="0.2">
      <c r="A52" s="274">
        <f>IF(COUNTBLANK(B52)=1," ",COUNTA(B$15:B52))</f>
        <v>18</v>
      </c>
      <c r="B52" s="198" t="s">
        <v>65</v>
      </c>
      <c r="C52" s="199" t="s">
        <v>253</v>
      </c>
      <c r="D52" s="128" t="s">
        <v>73</v>
      </c>
      <c r="E52" s="195">
        <v>66.25</v>
      </c>
      <c r="F52" s="196"/>
      <c r="G52" s="197"/>
      <c r="H52" s="200">
        <f t="shared" si="0"/>
        <v>0</v>
      </c>
      <c r="I52" s="197"/>
      <c r="J52" s="197"/>
      <c r="K52" s="218">
        <f t="shared" si="1"/>
        <v>0</v>
      </c>
      <c r="L52" s="201">
        <f t="shared" si="2"/>
        <v>0</v>
      </c>
      <c r="M52" s="200">
        <f t="shared" si="3"/>
        <v>0</v>
      </c>
      <c r="N52" s="200">
        <f t="shared" si="4"/>
        <v>0</v>
      </c>
      <c r="O52" s="200">
        <f t="shared" si="5"/>
        <v>0</v>
      </c>
      <c r="P52" s="217">
        <f t="shared" si="6"/>
        <v>0</v>
      </c>
    </row>
    <row r="53" spans="1:16" x14ac:dyDescent="0.2">
      <c r="A53" s="274">
        <f>IF(COUNTBLANK(B53)=1," ",COUNTA(B$15:B53))</f>
        <v>19</v>
      </c>
      <c r="B53" s="198" t="s">
        <v>65</v>
      </c>
      <c r="C53" s="199" t="s">
        <v>254</v>
      </c>
      <c r="D53" s="128" t="s">
        <v>73</v>
      </c>
      <c r="E53" s="195">
        <v>66.25</v>
      </c>
      <c r="F53" s="196"/>
      <c r="G53" s="197"/>
      <c r="H53" s="200">
        <f t="shared" si="0"/>
        <v>0</v>
      </c>
      <c r="I53" s="197"/>
      <c r="J53" s="197"/>
      <c r="K53" s="218">
        <f t="shared" si="1"/>
        <v>0</v>
      </c>
      <c r="L53" s="201">
        <f t="shared" si="2"/>
        <v>0</v>
      </c>
      <c r="M53" s="200">
        <f t="shared" si="3"/>
        <v>0</v>
      </c>
      <c r="N53" s="200">
        <f t="shared" si="4"/>
        <v>0</v>
      </c>
      <c r="O53" s="200">
        <f t="shared" si="5"/>
        <v>0</v>
      </c>
      <c r="P53" s="217">
        <f t="shared" si="6"/>
        <v>0</v>
      </c>
    </row>
    <row r="54" spans="1:16" ht="45" x14ac:dyDescent="0.2">
      <c r="A54" s="274">
        <f>IF(COUNTBLANK(B54)=1," ",COUNTA(B$15:B54))</f>
        <v>20</v>
      </c>
      <c r="B54" s="198" t="s">
        <v>65</v>
      </c>
      <c r="C54" s="199" t="s">
        <v>255</v>
      </c>
      <c r="D54" s="128" t="s">
        <v>73</v>
      </c>
      <c r="E54" s="195">
        <v>6.25</v>
      </c>
      <c r="F54" s="196"/>
      <c r="G54" s="197"/>
      <c r="H54" s="200">
        <f t="shared" si="0"/>
        <v>0</v>
      </c>
      <c r="I54" s="197"/>
      <c r="J54" s="197"/>
      <c r="K54" s="218">
        <f t="shared" si="1"/>
        <v>0</v>
      </c>
      <c r="L54" s="201">
        <f t="shared" si="2"/>
        <v>0</v>
      </c>
      <c r="M54" s="200">
        <f t="shared" si="3"/>
        <v>0</v>
      </c>
      <c r="N54" s="200">
        <f t="shared" si="4"/>
        <v>0</v>
      </c>
      <c r="O54" s="200">
        <f t="shared" si="5"/>
        <v>0</v>
      </c>
      <c r="P54" s="217">
        <f t="shared" si="6"/>
        <v>0</v>
      </c>
    </row>
    <row r="55" spans="1:16" x14ac:dyDescent="0.2">
      <c r="A55" s="274">
        <f>IF(COUNTBLANK(B55)=1," ",COUNTA(B$15:B55))</f>
        <v>21</v>
      </c>
      <c r="B55" s="198" t="s">
        <v>65</v>
      </c>
      <c r="C55" s="199" t="s">
        <v>256</v>
      </c>
      <c r="D55" s="128" t="s">
        <v>73</v>
      </c>
      <c r="E55" s="195">
        <v>6.25</v>
      </c>
      <c r="F55" s="196"/>
      <c r="G55" s="197"/>
      <c r="H55" s="200">
        <f t="shared" si="0"/>
        <v>0</v>
      </c>
      <c r="I55" s="197"/>
      <c r="J55" s="197"/>
      <c r="K55" s="218">
        <f t="shared" si="1"/>
        <v>0</v>
      </c>
      <c r="L55" s="201">
        <f t="shared" si="2"/>
        <v>0</v>
      </c>
      <c r="M55" s="200">
        <f t="shared" si="3"/>
        <v>0</v>
      </c>
      <c r="N55" s="200">
        <f t="shared" si="4"/>
        <v>0</v>
      </c>
      <c r="O55" s="200">
        <f t="shared" si="5"/>
        <v>0</v>
      </c>
      <c r="P55" s="217">
        <f t="shared" si="6"/>
        <v>0</v>
      </c>
    </row>
    <row r="56" spans="1:16" x14ac:dyDescent="0.2">
      <c r="A56" s="274">
        <f>IF(COUNTBLANK(B56)=1," ",COUNTA(B$15:B56))</f>
        <v>22</v>
      </c>
      <c r="B56" s="198" t="s">
        <v>65</v>
      </c>
      <c r="C56" s="199" t="s">
        <v>257</v>
      </c>
      <c r="D56" s="128" t="s">
        <v>73</v>
      </c>
      <c r="E56" s="195">
        <v>6.25</v>
      </c>
      <c r="F56" s="196"/>
      <c r="G56" s="197"/>
      <c r="H56" s="200">
        <f t="shared" si="0"/>
        <v>0</v>
      </c>
      <c r="I56" s="197"/>
      <c r="J56" s="197"/>
      <c r="K56" s="218">
        <f t="shared" si="1"/>
        <v>0</v>
      </c>
      <c r="L56" s="201">
        <f t="shared" si="2"/>
        <v>0</v>
      </c>
      <c r="M56" s="200">
        <f t="shared" si="3"/>
        <v>0</v>
      </c>
      <c r="N56" s="200">
        <f t="shared" si="4"/>
        <v>0</v>
      </c>
      <c r="O56" s="200">
        <f t="shared" si="5"/>
        <v>0</v>
      </c>
      <c r="P56" s="217">
        <f t="shared" si="6"/>
        <v>0</v>
      </c>
    </row>
    <row r="57" spans="1:16" x14ac:dyDescent="0.2">
      <c r="A57" s="274" t="str">
        <f>IF(COUNTBLANK(B57)=1," ",COUNTA(B$15:B57))</f>
        <v xml:space="preserve"> </v>
      </c>
      <c r="B57" s="198"/>
      <c r="C57" s="199" t="s">
        <v>258</v>
      </c>
      <c r="D57" s="128"/>
      <c r="E57" s="195">
        <v>0</v>
      </c>
      <c r="F57" s="196"/>
      <c r="G57" s="197"/>
      <c r="H57" s="200">
        <f t="shared" si="0"/>
        <v>0</v>
      </c>
      <c r="I57" s="197"/>
      <c r="J57" s="197"/>
      <c r="K57" s="218">
        <f t="shared" si="1"/>
        <v>0</v>
      </c>
      <c r="L57" s="201">
        <f t="shared" si="2"/>
        <v>0</v>
      </c>
      <c r="M57" s="200">
        <f t="shared" si="3"/>
        <v>0</v>
      </c>
      <c r="N57" s="200">
        <f t="shared" si="4"/>
        <v>0</v>
      </c>
      <c r="O57" s="200">
        <f t="shared" si="5"/>
        <v>0</v>
      </c>
      <c r="P57" s="217">
        <f t="shared" si="6"/>
        <v>0</v>
      </c>
    </row>
    <row r="58" spans="1:16" ht="56.25" x14ac:dyDescent="0.2">
      <c r="A58" s="274">
        <f>IF(COUNTBLANK(B58)=1," ",COUNTA(B$15:B58))</f>
        <v>23</v>
      </c>
      <c r="B58" s="198" t="s">
        <v>65</v>
      </c>
      <c r="C58" s="199" t="s">
        <v>259</v>
      </c>
      <c r="D58" s="128" t="s">
        <v>67</v>
      </c>
      <c r="E58" s="195">
        <v>43.75</v>
      </c>
      <c r="F58" s="196"/>
      <c r="G58" s="197"/>
      <c r="H58" s="200">
        <f t="shared" si="0"/>
        <v>0</v>
      </c>
      <c r="I58" s="197"/>
      <c r="J58" s="197"/>
      <c r="K58" s="218">
        <f t="shared" si="1"/>
        <v>0</v>
      </c>
      <c r="L58" s="201">
        <f t="shared" si="2"/>
        <v>0</v>
      </c>
      <c r="M58" s="200">
        <f t="shared" si="3"/>
        <v>0</v>
      </c>
      <c r="N58" s="200">
        <f t="shared" si="4"/>
        <v>0</v>
      </c>
      <c r="O58" s="200">
        <f t="shared" si="5"/>
        <v>0</v>
      </c>
      <c r="P58" s="217">
        <f t="shared" si="6"/>
        <v>0</v>
      </c>
    </row>
    <row r="59" spans="1:16" ht="22.5" x14ac:dyDescent="0.2">
      <c r="A59" s="274">
        <f>IF(COUNTBLANK(B59)=1," ",COUNTA(B$15:B59))</f>
        <v>24</v>
      </c>
      <c r="B59" s="198" t="s">
        <v>65</v>
      </c>
      <c r="C59" s="199" t="s">
        <v>260</v>
      </c>
      <c r="D59" s="128" t="s">
        <v>67</v>
      </c>
      <c r="E59" s="195">
        <v>43.75</v>
      </c>
      <c r="F59" s="196"/>
      <c r="G59" s="197"/>
      <c r="H59" s="200">
        <f t="shared" si="0"/>
        <v>0</v>
      </c>
      <c r="I59" s="197"/>
      <c r="J59" s="197"/>
      <c r="K59" s="218">
        <f t="shared" si="1"/>
        <v>0</v>
      </c>
      <c r="L59" s="201">
        <f t="shared" si="2"/>
        <v>0</v>
      </c>
      <c r="M59" s="200">
        <f t="shared" si="3"/>
        <v>0</v>
      </c>
      <c r="N59" s="200">
        <f t="shared" si="4"/>
        <v>0</v>
      </c>
      <c r="O59" s="200">
        <f t="shared" si="5"/>
        <v>0</v>
      </c>
      <c r="P59" s="217">
        <f t="shared" si="6"/>
        <v>0</v>
      </c>
    </row>
    <row r="60" spans="1:16" ht="45" x14ac:dyDescent="0.2">
      <c r="A60" s="274" t="str">
        <f>IF(COUNTBLANK(B60)=1," ",COUNTA(B$15:B60))</f>
        <v xml:space="preserve"> </v>
      </c>
      <c r="B60" s="198"/>
      <c r="C60" s="199" t="s">
        <v>366</v>
      </c>
      <c r="D60" s="128"/>
      <c r="E60" s="195">
        <v>0</v>
      </c>
      <c r="F60" s="196"/>
      <c r="G60" s="197"/>
      <c r="H60" s="200">
        <f t="shared" si="0"/>
        <v>0</v>
      </c>
      <c r="I60" s="197"/>
      <c r="J60" s="197"/>
      <c r="K60" s="218">
        <f t="shared" si="1"/>
        <v>0</v>
      </c>
      <c r="L60" s="201">
        <f t="shared" si="2"/>
        <v>0</v>
      </c>
      <c r="M60" s="200">
        <f t="shared" si="3"/>
        <v>0</v>
      </c>
      <c r="N60" s="200">
        <f t="shared" si="4"/>
        <v>0</v>
      </c>
      <c r="O60" s="200">
        <f t="shared" si="5"/>
        <v>0</v>
      </c>
      <c r="P60" s="217">
        <f t="shared" si="6"/>
        <v>0</v>
      </c>
    </row>
    <row r="61" spans="1:16" ht="22.5" x14ac:dyDescent="0.2">
      <c r="A61" s="274">
        <f>IF(COUNTBLANK(B61)=1," ",COUNTA(B$15:B61))</f>
        <v>25</v>
      </c>
      <c r="B61" s="198" t="s">
        <v>65</v>
      </c>
      <c r="C61" s="199" t="s">
        <v>261</v>
      </c>
      <c r="D61" s="128" t="s">
        <v>73</v>
      </c>
      <c r="E61" s="195">
        <v>1064.4000000000001</v>
      </c>
      <c r="F61" s="196"/>
      <c r="G61" s="197"/>
      <c r="H61" s="200">
        <f t="shared" si="0"/>
        <v>0</v>
      </c>
      <c r="I61" s="197"/>
      <c r="J61" s="197"/>
      <c r="K61" s="218">
        <f t="shared" si="1"/>
        <v>0</v>
      </c>
      <c r="L61" s="201">
        <f t="shared" si="2"/>
        <v>0</v>
      </c>
      <c r="M61" s="200">
        <f t="shared" si="3"/>
        <v>0</v>
      </c>
      <c r="N61" s="200">
        <f t="shared" si="4"/>
        <v>0</v>
      </c>
      <c r="O61" s="200">
        <f t="shared" si="5"/>
        <v>0</v>
      </c>
      <c r="P61" s="217">
        <f t="shared" si="6"/>
        <v>0</v>
      </c>
    </row>
    <row r="62" spans="1:16" ht="22.5" x14ac:dyDescent="0.2">
      <c r="A62" s="274">
        <f>IF(COUNTBLANK(B62)=1," ",COUNTA(B$15:B62))</f>
        <v>26</v>
      </c>
      <c r="B62" s="198" t="s">
        <v>65</v>
      </c>
      <c r="C62" s="199" t="s">
        <v>262</v>
      </c>
      <c r="D62" s="128" t="s">
        <v>73</v>
      </c>
      <c r="E62" s="195">
        <f>E61</f>
        <v>1064.4000000000001</v>
      </c>
      <c r="F62" s="196"/>
      <c r="G62" s="197"/>
      <c r="H62" s="200">
        <f t="shared" si="0"/>
        <v>0</v>
      </c>
      <c r="I62" s="197"/>
      <c r="J62" s="197"/>
      <c r="K62" s="218">
        <f t="shared" si="1"/>
        <v>0</v>
      </c>
      <c r="L62" s="201">
        <f t="shared" si="2"/>
        <v>0</v>
      </c>
      <c r="M62" s="200">
        <f t="shared" si="3"/>
        <v>0</v>
      </c>
      <c r="N62" s="200">
        <f t="shared" si="4"/>
        <v>0</v>
      </c>
      <c r="O62" s="200">
        <f t="shared" si="5"/>
        <v>0</v>
      </c>
      <c r="P62" s="217">
        <f t="shared" si="6"/>
        <v>0</v>
      </c>
    </row>
    <row r="63" spans="1:16" x14ac:dyDescent="0.2">
      <c r="A63" s="274">
        <f>IF(COUNTBLANK(B63)=1," ",COUNTA(B$15:B63))</f>
        <v>27</v>
      </c>
      <c r="B63" s="198" t="s">
        <v>65</v>
      </c>
      <c r="C63" s="199" t="s">
        <v>263</v>
      </c>
      <c r="D63" s="128" t="s">
        <v>73</v>
      </c>
      <c r="E63" s="195">
        <f>E61</f>
        <v>1064.4000000000001</v>
      </c>
      <c r="F63" s="196"/>
      <c r="G63" s="197"/>
      <c r="H63" s="200">
        <f t="shared" si="0"/>
        <v>0</v>
      </c>
      <c r="I63" s="197"/>
      <c r="J63" s="197"/>
      <c r="K63" s="218">
        <f t="shared" si="1"/>
        <v>0</v>
      </c>
      <c r="L63" s="201">
        <f t="shared" si="2"/>
        <v>0</v>
      </c>
      <c r="M63" s="200">
        <f t="shared" si="3"/>
        <v>0</v>
      </c>
      <c r="N63" s="200">
        <f t="shared" si="4"/>
        <v>0</v>
      </c>
      <c r="O63" s="200">
        <f t="shared" si="5"/>
        <v>0</v>
      </c>
      <c r="P63" s="217">
        <f t="shared" si="6"/>
        <v>0</v>
      </c>
    </row>
    <row r="64" spans="1:16" ht="22.5" x14ac:dyDescent="0.2">
      <c r="A64" s="274">
        <f>IF(COUNTBLANK(B64)=1," ",COUNTA(B$15:B64))</f>
        <v>28</v>
      </c>
      <c r="B64" s="198" t="s">
        <v>65</v>
      </c>
      <c r="C64" s="199" t="s">
        <v>264</v>
      </c>
      <c r="D64" s="128" t="s">
        <v>73</v>
      </c>
      <c r="E64" s="195">
        <f>E61</f>
        <v>1064.4000000000001</v>
      </c>
      <c r="F64" s="196"/>
      <c r="G64" s="197"/>
      <c r="H64" s="200">
        <f t="shared" si="0"/>
        <v>0</v>
      </c>
      <c r="I64" s="197"/>
      <c r="J64" s="197"/>
      <c r="K64" s="218">
        <f t="shared" si="1"/>
        <v>0</v>
      </c>
      <c r="L64" s="201">
        <f t="shared" si="2"/>
        <v>0</v>
      </c>
      <c r="M64" s="200">
        <f t="shared" si="3"/>
        <v>0</v>
      </c>
      <c r="N64" s="200">
        <f t="shared" si="4"/>
        <v>0</v>
      </c>
      <c r="O64" s="200">
        <f t="shared" si="5"/>
        <v>0</v>
      </c>
      <c r="P64" s="217">
        <f t="shared" si="6"/>
        <v>0</v>
      </c>
    </row>
    <row r="65" spans="1:16" ht="22.5" x14ac:dyDescent="0.2">
      <c r="A65" s="274">
        <f>IF(COUNTBLANK(B65)=1," ",COUNTA(B$15:B65))</f>
        <v>29</v>
      </c>
      <c r="B65" s="198" t="s">
        <v>65</v>
      </c>
      <c r="C65" s="199" t="s">
        <v>265</v>
      </c>
      <c r="D65" s="128" t="s">
        <v>73</v>
      </c>
      <c r="E65" s="195">
        <f>E61</f>
        <v>1064.4000000000001</v>
      </c>
      <c r="F65" s="196"/>
      <c r="G65" s="197"/>
      <c r="H65" s="200">
        <f t="shared" si="0"/>
        <v>0</v>
      </c>
      <c r="I65" s="197"/>
      <c r="J65" s="197"/>
      <c r="K65" s="218">
        <f t="shared" si="1"/>
        <v>0</v>
      </c>
      <c r="L65" s="201">
        <f t="shared" si="2"/>
        <v>0</v>
      </c>
      <c r="M65" s="200">
        <f t="shared" si="3"/>
        <v>0</v>
      </c>
      <c r="N65" s="200">
        <f t="shared" si="4"/>
        <v>0</v>
      </c>
      <c r="O65" s="200">
        <f t="shared" si="5"/>
        <v>0</v>
      </c>
      <c r="P65" s="217">
        <f t="shared" si="6"/>
        <v>0</v>
      </c>
    </row>
    <row r="66" spans="1:16" ht="22.5" x14ac:dyDescent="0.2">
      <c r="A66" s="274" t="str">
        <f>IF(COUNTBLANK(B66)=1," ",COUNTA(B$15:B66))</f>
        <v xml:space="preserve"> </v>
      </c>
      <c r="B66" s="198"/>
      <c r="C66" s="199" t="s">
        <v>266</v>
      </c>
      <c r="D66" s="128"/>
      <c r="E66" s="195">
        <v>0</v>
      </c>
      <c r="F66" s="196"/>
      <c r="G66" s="197"/>
      <c r="H66" s="200">
        <f t="shared" si="0"/>
        <v>0</v>
      </c>
      <c r="I66" s="197"/>
      <c r="J66" s="197"/>
      <c r="K66" s="218">
        <f t="shared" si="1"/>
        <v>0</v>
      </c>
      <c r="L66" s="201">
        <f t="shared" si="2"/>
        <v>0</v>
      </c>
      <c r="M66" s="200">
        <f t="shared" si="3"/>
        <v>0</v>
      </c>
      <c r="N66" s="200">
        <f t="shared" si="4"/>
        <v>0</v>
      </c>
      <c r="O66" s="200">
        <f t="shared" si="5"/>
        <v>0</v>
      </c>
      <c r="P66" s="217">
        <f t="shared" si="6"/>
        <v>0</v>
      </c>
    </row>
    <row r="67" spans="1:16" x14ac:dyDescent="0.2">
      <c r="A67" s="274">
        <f>IF(COUNTBLANK(B67)=1," ",COUNTA(B$15:B67))</f>
        <v>30</v>
      </c>
      <c r="B67" s="198" t="s">
        <v>65</v>
      </c>
      <c r="C67" s="199" t="s">
        <v>267</v>
      </c>
      <c r="D67" s="128" t="s">
        <v>157</v>
      </c>
      <c r="E67" s="195">
        <v>1.25</v>
      </c>
      <c r="F67" s="196"/>
      <c r="G67" s="197"/>
      <c r="H67" s="200">
        <f t="shared" si="0"/>
        <v>0</v>
      </c>
      <c r="I67" s="197"/>
      <c r="J67" s="197"/>
      <c r="K67" s="218">
        <f t="shared" si="1"/>
        <v>0</v>
      </c>
      <c r="L67" s="201">
        <f t="shared" si="2"/>
        <v>0</v>
      </c>
      <c r="M67" s="200">
        <f t="shared" si="3"/>
        <v>0</v>
      </c>
      <c r="N67" s="200">
        <f t="shared" si="4"/>
        <v>0</v>
      </c>
      <c r="O67" s="200">
        <f t="shared" si="5"/>
        <v>0</v>
      </c>
      <c r="P67" s="217">
        <f t="shared" si="6"/>
        <v>0</v>
      </c>
    </row>
    <row r="68" spans="1:16" x14ac:dyDescent="0.2">
      <c r="A68" s="274" t="str">
        <f>IF(COUNTBLANK(B68)=1," ",COUNTA(B$15:B68))</f>
        <v xml:space="preserve"> </v>
      </c>
      <c r="B68" s="198"/>
      <c r="C68" s="199" t="s">
        <v>268</v>
      </c>
      <c r="D68" s="128" t="s">
        <v>157</v>
      </c>
      <c r="E68" s="195">
        <v>1.3125</v>
      </c>
      <c r="F68" s="196"/>
      <c r="G68" s="197"/>
      <c r="H68" s="200">
        <f t="shared" si="0"/>
        <v>0</v>
      </c>
      <c r="I68" s="197"/>
      <c r="J68" s="197"/>
      <c r="K68" s="218">
        <f t="shared" si="1"/>
        <v>0</v>
      </c>
      <c r="L68" s="201">
        <f t="shared" si="2"/>
        <v>0</v>
      </c>
      <c r="M68" s="200">
        <f t="shared" si="3"/>
        <v>0</v>
      </c>
      <c r="N68" s="200">
        <f t="shared" si="4"/>
        <v>0</v>
      </c>
      <c r="O68" s="200">
        <f t="shared" si="5"/>
        <v>0</v>
      </c>
      <c r="P68" s="217">
        <f t="shared" si="6"/>
        <v>0</v>
      </c>
    </row>
    <row r="69" spans="1:16" ht="22.5" x14ac:dyDescent="0.2">
      <c r="A69" s="274">
        <f>IF(COUNTBLANK(B69)=1," ",COUNTA(B$15:B69))</f>
        <v>31</v>
      </c>
      <c r="B69" s="198" t="s">
        <v>65</v>
      </c>
      <c r="C69" s="199" t="s">
        <v>269</v>
      </c>
      <c r="D69" s="128" t="s">
        <v>67</v>
      </c>
      <c r="E69" s="195">
        <v>315</v>
      </c>
      <c r="F69" s="196"/>
      <c r="G69" s="197"/>
      <c r="H69" s="200">
        <f t="shared" si="0"/>
        <v>0</v>
      </c>
      <c r="I69" s="197"/>
      <c r="J69" s="197"/>
      <c r="K69" s="218">
        <f t="shared" si="1"/>
        <v>0</v>
      </c>
      <c r="L69" s="201">
        <f t="shared" si="2"/>
        <v>0</v>
      </c>
      <c r="M69" s="200">
        <f t="shared" si="3"/>
        <v>0</v>
      </c>
      <c r="N69" s="200">
        <f t="shared" si="4"/>
        <v>0</v>
      </c>
      <c r="O69" s="200">
        <f t="shared" si="5"/>
        <v>0</v>
      </c>
      <c r="P69" s="217">
        <f t="shared" si="6"/>
        <v>0</v>
      </c>
    </row>
    <row r="70" spans="1:16" x14ac:dyDescent="0.2">
      <c r="A70" s="274">
        <f>IF(COUNTBLANK(B70)=1," ",COUNTA(B$15:B70))</f>
        <v>32</v>
      </c>
      <c r="B70" s="198" t="s">
        <v>65</v>
      </c>
      <c r="C70" s="199" t="s">
        <v>270</v>
      </c>
      <c r="D70" s="128" t="s">
        <v>67</v>
      </c>
      <c r="E70" s="195">
        <v>315</v>
      </c>
      <c r="F70" s="196"/>
      <c r="G70" s="197"/>
      <c r="H70" s="200">
        <f t="shared" ref="H70:H91" si="7">ROUND(F70*G70,2)</f>
        <v>0</v>
      </c>
      <c r="I70" s="197"/>
      <c r="J70" s="197"/>
      <c r="K70" s="218">
        <f t="shared" ref="K70:K91" si="8">SUM(H70:J70)</f>
        <v>0</v>
      </c>
      <c r="L70" s="201">
        <f t="shared" ref="L70:L93" si="9">ROUND(E70*F70,2)</f>
        <v>0</v>
      </c>
      <c r="M70" s="200">
        <f t="shared" ref="M70:M91" si="10">ROUND(H70*E70,2)</f>
        <v>0</v>
      </c>
      <c r="N70" s="200">
        <f t="shared" ref="N70:N93" si="11">ROUND(I70*E70,2)</f>
        <v>0</v>
      </c>
      <c r="O70" s="200">
        <f t="shared" ref="O70:O93" si="12">ROUND(J70*E70,2)</f>
        <v>0</v>
      </c>
      <c r="P70" s="217">
        <f t="shared" ref="P70:P91" si="13">SUM(M70:O70)</f>
        <v>0</v>
      </c>
    </row>
    <row r="71" spans="1:16" ht="33.75" x14ac:dyDescent="0.2">
      <c r="A71" s="274">
        <f>IF(COUNTBLANK(B71)=1," ",COUNTA(B$15:B71))</f>
        <v>33</v>
      </c>
      <c r="B71" s="198" t="s">
        <v>65</v>
      </c>
      <c r="C71" s="199" t="s">
        <v>271</v>
      </c>
      <c r="D71" s="128" t="s">
        <v>272</v>
      </c>
      <c r="E71" s="307">
        <v>12</v>
      </c>
      <c r="F71" s="196"/>
      <c r="G71" s="197"/>
      <c r="H71" s="200">
        <f t="shared" si="7"/>
        <v>0</v>
      </c>
      <c r="I71" s="197"/>
      <c r="J71" s="197"/>
      <c r="K71" s="218">
        <f t="shared" si="8"/>
        <v>0</v>
      </c>
      <c r="L71" s="201">
        <f t="shared" si="9"/>
        <v>0</v>
      </c>
      <c r="M71" s="200">
        <f t="shared" si="10"/>
        <v>0</v>
      </c>
      <c r="N71" s="200">
        <f t="shared" si="11"/>
        <v>0</v>
      </c>
      <c r="O71" s="200">
        <f t="shared" si="12"/>
        <v>0</v>
      </c>
      <c r="P71" s="217">
        <f t="shared" si="13"/>
        <v>0</v>
      </c>
    </row>
    <row r="72" spans="1:16" x14ac:dyDescent="0.2">
      <c r="A72" s="274" t="str">
        <f>IF(COUNTBLANK(B72)=1," ",COUNTA(B$15:B72))</f>
        <v xml:space="preserve"> </v>
      </c>
      <c r="B72" s="198"/>
      <c r="C72" s="199" t="s">
        <v>367</v>
      </c>
      <c r="D72" s="128"/>
      <c r="E72" s="195">
        <v>0</v>
      </c>
      <c r="F72" s="196"/>
      <c r="G72" s="197"/>
      <c r="H72" s="200">
        <f t="shared" si="7"/>
        <v>0</v>
      </c>
      <c r="I72" s="197"/>
      <c r="J72" s="197"/>
      <c r="K72" s="218">
        <f t="shared" si="8"/>
        <v>0</v>
      </c>
      <c r="L72" s="201">
        <f t="shared" si="9"/>
        <v>0</v>
      </c>
      <c r="M72" s="200">
        <f t="shared" si="10"/>
        <v>0</v>
      </c>
      <c r="N72" s="200">
        <f t="shared" si="11"/>
        <v>0</v>
      </c>
      <c r="O72" s="200">
        <f t="shared" si="12"/>
        <v>0</v>
      </c>
      <c r="P72" s="217">
        <f t="shared" si="13"/>
        <v>0</v>
      </c>
    </row>
    <row r="73" spans="1:16" ht="22.5" x14ac:dyDescent="0.2">
      <c r="A73" s="274">
        <f>IF(COUNTBLANK(B73)=1," ",COUNTA(B$15:B73))</f>
        <v>34</v>
      </c>
      <c r="B73" s="198" t="s">
        <v>65</v>
      </c>
      <c r="C73" s="199" t="s">
        <v>273</v>
      </c>
      <c r="D73" s="128" t="s">
        <v>67</v>
      </c>
      <c r="E73" s="195">
        <v>16</v>
      </c>
      <c r="F73" s="196"/>
      <c r="G73" s="197"/>
      <c r="H73" s="200">
        <f t="shared" si="7"/>
        <v>0</v>
      </c>
      <c r="I73" s="197"/>
      <c r="J73" s="197"/>
      <c r="K73" s="218">
        <f t="shared" si="8"/>
        <v>0</v>
      </c>
      <c r="L73" s="201">
        <f t="shared" si="9"/>
        <v>0</v>
      </c>
      <c r="M73" s="200">
        <f t="shared" si="10"/>
        <v>0</v>
      </c>
      <c r="N73" s="200">
        <f t="shared" si="11"/>
        <v>0</v>
      </c>
      <c r="O73" s="200">
        <f t="shared" si="12"/>
        <v>0</v>
      </c>
      <c r="P73" s="217">
        <f t="shared" si="13"/>
        <v>0</v>
      </c>
    </row>
    <row r="74" spans="1:16" x14ac:dyDescent="0.2">
      <c r="A74" s="274">
        <f>IF(COUNTBLANK(B74)=1," ",COUNTA(B$15:B74))</f>
        <v>35</v>
      </c>
      <c r="B74" s="198" t="s">
        <v>65</v>
      </c>
      <c r="C74" s="199" t="s">
        <v>274</v>
      </c>
      <c r="D74" s="128" t="s">
        <v>70</v>
      </c>
      <c r="E74" s="195">
        <v>32</v>
      </c>
      <c r="F74" s="196"/>
      <c r="G74" s="197"/>
      <c r="H74" s="200">
        <f t="shared" si="7"/>
        <v>0</v>
      </c>
      <c r="I74" s="197"/>
      <c r="J74" s="197"/>
      <c r="K74" s="218">
        <f t="shared" si="8"/>
        <v>0</v>
      </c>
      <c r="L74" s="201">
        <f t="shared" si="9"/>
        <v>0</v>
      </c>
      <c r="M74" s="200">
        <f t="shared" si="10"/>
        <v>0</v>
      </c>
      <c r="N74" s="200">
        <f t="shared" si="11"/>
        <v>0</v>
      </c>
      <c r="O74" s="200">
        <f t="shared" si="12"/>
        <v>0</v>
      </c>
      <c r="P74" s="217">
        <f t="shared" si="13"/>
        <v>0</v>
      </c>
    </row>
    <row r="75" spans="1:16" x14ac:dyDescent="0.2">
      <c r="A75" s="274">
        <f>IF(COUNTBLANK(B75)=1," ",COUNTA(B$15:B75))</f>
        <v>36</v>
      </c>
      <c r="B75" s="198" t="s">
        <v>65</v>
      </c>
      <c r="C75" s="199" t="s">
        <v>275</v>
      </c>
      <c r="D75" s="128" t="s">
        <v>70</v>
      </c>
      <c r="E75" s="195">
        <v>32</v>
      </c>
      <c r="F75" s="196"/>
      <c r="G75" s="197"/>
      <c r="H75" s="200">
        <f t="shared" si="7"/>
        <v>0</v>
      </c>
      <c r="I75" s="197"/>
      <c r="J75" s="197"/>
      <c r="K75" s="218">
        <f t="shared" si="8"/>
        <v>0</v>
      </c>
      <c r="L75" s="201">
        <f t="shared" si="9"/>
        <v>0</v>
      </c>
      <c r="M75" s="200">
        <f t="shared" si="10"/>
        <v>0</v>
      </c>
      <c r="N75" s="200">
        <f t="shared" si="11"/>
        <v>0</v>
      </c>
      <c r="O75" s="200">
        <f t="shared" si="12"/>
        <v>0</v>
      </c>
      <c r="P75" s="217">
        <f t="shared" si="13"/>
        <v>0</v>
      </c>
    </row>
    <row r="76" spans="1:16" x14ac:dyDescent="0.2">
      <c r="A76" s="274">
        <f>IF(COUNTBLANK(B76)=1," ",COUNTA(B$15:B76))</f>
        <v>37</v>
      </c>
      <c r="B76" s="198" t="s">
        <v>65</v>
      </c>
      <c r="C76" s="199" t="s">
        <v>276</v>
      </c>
      <c r="D76" s="128" t="s">
        <v>67</v>
      </c>
      <c r="E76" s="195">
        <v>31.28</v>
      </c>
      <c r="F76" s="196"/>
      <c r="G76" s="197"/>
      <c r="H76" s="200">
        <f t="shared" si="7"/>
        <v>0</v>
      </c>
      <c r="I76" s="197"/>
      <c r="J76" s="197"/>
      <c r="K76" s="218">
        <f t="shared" si="8"/>
        <v>0</v>
      </c>
      <c r="L76" s="201">
        <f t="shared" si="9"/>
        <v>0</v>
      </c>
      <c r="M76" s="200">
        <f t="shared" si="10"/>
        <v>0</v>
      </c>
      <c r="N76" s="200">
        <f t="shared" si="11"/>
        <v>0</v>
      </c>
      <c r="O76" s="200">
        <f t="shared" si="12"/>
        <v>0</v>
      </c>
      <c r="P76" s="217">
        <f t="shared" si="13"/>
        <v>0</v>
      </c>
    </row>
    <row r="77" spans="1:16" x14ac:dyDescent="0.2">
      <c r="A77" s="274">
        <f>IF(COUNTBLANK(B77)=1," ",COUNTA(B$15:B77))</f>
        <v>38</v>
      </c>
      <c r="B77" s="198" t="s">
        <v>65</v>
      </c>
      <c r="C77" s="199" t="s">
        <v>277</v>
      </c>
      <c r="D77" s="128" t="s">
        <v>67</v>
      </c>
      <c r="E77" s="195">
        <v>16.13</v>
      </c>
      <c r="F77" s="196"/>
      <c r="G77" s="197"/>
      <c r="H77" s="200">
        <f t="shared" si="7"/>
        <v>0</v>
      </c>
      <c r="I77" s="197"/>
      <c r="J77" s="197"/>
      <c r="K77" s="218">
        <f t="shared" si="8"/>
        <v>0</v>
      </c>
      <c r="L77" s="201">
        <f t="shared" si="9"/>
        <v>0</v>
      </c>
      <c r="M77" s="200">
        <f t="shared" si="10"/>
        <v>0</v>
      </c>
      <c r="N77" s="200">
        <f t="shared" si="11"/>
        <v>0</v>
      </c>
      <c r="O77" s="200">
        <f t="shared" si="12"/>
        <v>0</v>
      </c>
      <c r="P77" s="217">
        <f t="shared" si="13"/>
        <v>0</v>
      </c>
    </row>
    <row r="78" spans="1:16" x14ac:dyDescent="0.2">
      <c r="A78" s="274">
        <f>IF(COUNTBLANK(B78)=1," ",COUNTA(B$15:B78))</f>
        <v>39</v>
      </c>
      <c r="B78" s="198" t="s">
        <v>65</v>
      </c>
      <c r="C78" s="199" t="s">
        <v>278</v>
      </c>
      <c r="D78" s="128" t="s">
        <v>73</v>
      </c>
      <c r="E78" s="195">
        <v>1.41</v>
      </c>
      <c r="F78" s="196"/>
      <c r="G78" s="197"/>
      <c r="H78" s="200">
        <f t="shared" si="7"/>
        <v>0</v>
      </c>
      <c r="I78" s="197"/>
      <c r="J78" s="197"/>
      <c r="K78" s="218">
        <f t="shared" si="8"/>
        <v>0</v>
      </c>
      <c r="L78" s="201">
        <f t="shared" si="9"/>
        <v>0</v>
      </c>
      <c r="M78" s="200">
        <f t="shared" si="10"/>
        <v>0</v>
      </c>
      <c r="N78" s="200">
        <f t="shared" si="11"/>
        <v>0</v>
      </c>
      <c r="O78" s="200">
        <f t="shared" si="12"/>
        <v>0</v>
      </c>
      <c r="P78" s="217">
        <f t="shared" si="13"/>
        <v>0</v>
      </c>
    </row>
    <row r="79" spans="1:16" x14ac:dyDescent="0.2">
      <c r="A79" s="274">
        <f>IF(COUNTBLANK(B79)=1," ",COUNTA(B$15:B79))</f>
        <v>40</v>
      </c>
      <c r="B79" s="198" t="s">
        <v>65</v>
      </c>
      <c r="C79" s="199" t="s">
        <v>279</v>
      </c>
      <c r="D79" s="128" t="s">
        <v>157</v>
      </c>
      <c r="E79" s="275">
        <v>2.9000000000000001E-2</v>
      </c>
      <c r="F79" s="196"/>
      <c r="G79" s="197"/>
      <c r="H79" s="200">
        <f t="shared" si="7"/>
        <v>0</v>
      </c>
      <c r="I79" s="197"/>
      <c r="J79" s="197"/>
      <c r="K79" s="218">
        <f t="shared" si="8"/>
        <v>0</v>
      </c>
      <c r="L79" s="201">
        <f t="shared" si="9"/>
        <v>0</v>
      </c>
      <c r="M79" s="200">
        <f t="shared" si="10"/>
        <v>0</v>
      </c>
      <c r="N79" s="200">
        <f t="shared" si="11"/>
        <v>0</v>
      </c>
      <c r="O79" s="200">
        <f t="shared" si="12"/>
        <v>0</v>
      </c>
      <c r="P79" s="217">
        <f t="shared" si="13"/>
        <v>0</v>
      </c>
    </row>
    <row r="80" spans="1:16" x14ac:dyDescent="0.2">
      <c r="A80" s="274" t="str">
        <f>IF(COUNTBLANK(B80)=1," ",COUNTA(B$15:B80))</f>
        <v xml:space="preserve"> </v>
      </c>
      <c r="B80" s="198"/>
      <c r="C80" s="199" t="s">
        <v>280</v>
      </c>
      <c r="D80" s="128"/>
      <c r="E80" s="195">
        <v>0</v>
      </c>
      <c r="F80" s="196"/>
      <c r="G80" s="197"/>
      <c r="H80" s="200">
        <f t="shared" si="7"/>
        <v>0</v>
      </c>
      <c r="I80" s="197"/>
      <c r="J80" s="197"/>
      <c r="K80" s="218">
        <f t="shared" si="8"/>
        <v>0</v>
      </c>
      <c r="L80" s="201">
        <f t="shared" si="9"/>
        <v>0</v>
      </c>
      <c r="M80" s="200">
        <f t="shared" si="10"/>
        <v>0</v>
      </c>
      <c r="N80" s="200">
        <f t="shared" si="11"/>
        <v>0</v>
      </c>
      <c r="O80" s="200">
        <f t="shared" si="12"/>
        <v>0</v>
      </c>
      <c r="P80" s="217">
        <f t="shared" si="13"/>
        <v>0</v>
      </c>
    </row>
    <row r="81" spans="1:16" x14ac:dyDescent="0.2">
      <c r="A81" s="274">
        <f>IF(COUNTBLANK(B81)=1," ",COUNTA(B$15:B81))</f>
        <v>41</v>
      </c>
      <c r="B81" s="198" t="s">
        <v>65</v>
      </c>
      <c r="C81" s="199" t="s">
        <v>281</v>
      </c>
      <c r="D81" s="128" t="s">
        <v>73</v>
      </c>
      <c r="E81" s="195">
        <v>10</v>
      </c>
      <c r="F81" s="196"/>
      <c r="G81" s="197"/>
      <c r="H81" s="200">
        <f t="shared" si="7"/>
        <v>0</v>
      </c>
      <c r="I81" s="197"/>
      <c r="J81" s="197"/>
      <c r="K81" s="218">
        <f t="shared" si="8"/>
        <v>0</v>
      </c>
      <c r="L81" s="201">
        <f t="shared" si="9"/>
        <v>0</v>
      </c>
      <c r="M81" s="200">
        <f t="shared" si="10"/>
        <v>0</v>
      </c>
      <c r="N81" s="200">
        <f t="shared" si="11"/>
        <v>0</v>
      </c>
      <c r="O81" s="200">
        <f t="shared" si="12"/>
        <v>0</v>
      </c>
      <c r="P81" s="217">
        <f t="shared" si="13"/>
        <v>0</v>
      </c>
    </row>
    <row r="82" spans="1:16" x14ac:dyDescent="0.2">
      <c r="A82" s="274" t="str">
        <f>IF(COUNTBLANK(B82)=1," ",COUNTA(B$15:B82))</f>
        <v xml:space="preserve"> </v>
      </c>
      <c r="B82" s="198"/>
      <c r="C82" s="199" t="s">
        <v>282</v>
      </c>
      <c r="D82" s="128" t="s">
        <v>83</v>
      </c>
      <c r="E82" s="195">
        <v>96</v>
      </c>
      <c r="F82" s="196"/>
      <c r="G82" s="197"/>
      <c r="H82" s="200">
        <f t="shared" si="7"/>
        <v>0</v>
      </c>
      <c r="I82" s="197"/>
      <c r="J82" s="197"/>
      <c r="K82" s="218">
        <f t="shared" si="8"/>
        <v>0</v>
      </c>
      <c r="L82" s="201">
        <f t="shared" si="9"/>
        <v>0</v>
      </c>
      <c r="M82" s="200">
        <f t="shared" si="10"/>
        <v>0</v>
      </c>
      <c r="N82" s="200">
        <f t="shared" si="11"/>
        <v>0</v>
      </c>
      <c r="O82" s="200">
        <f t="shared" si="12"/>
        <v>0</v>
      </c>
      <c r="P82" s="217">
        <f t="shared" si="13"/>
        <v>0</v>
      </c>
    </row>
    <row r="83" spans="1:16" x14ac:dyDescent="0.2">
      <c r="A83" s="274" t="str">
        <f>IF(COUNTBLANK(B83)=1," ",COUNTA(B$15:B83))</f>
        <v xml:space="preserve"> </v>
      </c>
      <c r="B83" s="198"/>
      <c r="C83" s="199" t="s">
        <v>107</v>
      </c>
      <c r="D83" s="128" t="s">
        <v>106</v>
      </c>
      <c r="E83" s="195">
        <v>11</v>
      </c>
      <c r="F83" s="196"/>
      <c r="G83" s="197"/>
      <c r="H83" s="200">
        <f t="shared" si="7"/>
        <v>0</v>
      </c>
      <c r="I83" s="197"/>
      <c r="J83" s="197"/>
      <c r="K83" s="218">
        <f t="shared" si="8"/>
        <v>0</v>
      </c>
      <c r="L83" s="201">
        <f t="shared" si="9"/>
        <v>0</v>
      </c>
      <c r="M83" s="200">
        <f t="shared" si="10"/>
        <v>0</v>
      </c>
      <c r="N83" s="200">
        <f t="shared" si="11"/>
        <v>0</v>
      </c>
      <c r="O83" s="200">
        <f t="shared" si="12"/>
        <v>0</v>
      </c>
      <c r="P83" s="217">
        <f t="shared" si="13"/>
        <v>0</v>
      </c>
    </row>
    <row r="84" spans="1:16" x14ac:dyDescent="0.2">
      <c r="A84" s="274" t="str">
        <f>IF(COUNTBLANK(B84)=1," ",COUNTA(B$15:B84))</f>
        <v xml:space="preserve"> </v>
      </c>
      <c r="B84" s="198"/>
      <c r="C84" s="199" t="s">
        <v>163</v>
      </c>
      <c r="D84" s="128" t="s">
        <v>164</v>
      </c>
      <c r="E84" s="195">
        <v>0.89999999999999991</v>
      </c>
      <c r="F84" s="196"/>
      <c r="G84" s="197"/>
      <c r="H84" s="200">
        <f t="shared" si="7"/>
        <v>0</v>
      </c>
      <c r="I84" s="197"/>
      <c r="J84" s="197"/>
      <c r="K84" s="218">
        <f t="shared" si="8"/>
        <v>0</v>
      </c>
      <c r="L84" s="201">
        <f t="shared" si="9"/>
        <v>0</v>
      </c>
      <c r="M84" s="200">
        <f t="shared" si="10"/>
        <v>0</v>
      </c>
      <c r="N84" s="200">
        <f t="shared" si="11"/>
        <v>0</v>
      </c>
      <c r="O84" s="200">
        <f t="shared" si="12"/>
        <v>0</v>
      </c>
      <c r="P84" s="217">
        <f t="shared" si="13"/>
        <v>0</v>
      </c>
    </row>
    <row r="85" spans="1:16" x14ac:dyDescent="0.2">
      <c r="A85" s="274" t="str">
        <f>IF(COUNTBLANK(B85)=1," ",COUNTA(B$15:B85))</f>
        <v xml:space="preserve"> </v>
      </c>
      <c r="B85" s="198"/>
      <c r="C85" s="199" t="s">
        <v>283</v>
      </c>
      <c r="D85" s="128" t="s">
        <v>83</v>
      </c>
      <c r="E85" s="195">
        <v>1</v>
      </c>
      <c r="F85" s="196"/>
      <c r="G85" s="197"/>
      <c r="H85" s="200">
        <f t="shared" si="7"/>
        <v>0</v>
      </c>
      <c r="I85" s="197"/>
      <c r="J85" s="197"/>
      <c r="K85" s="218">
        <f t="shared" si="8"/>
        <v>0</v>
      </c>
      <c r="L85" s="201">
        <f t="shared" si="9"/>
        <v>0</v>
      </c>
      <c r="M85" s="200">
        <f t="shared" si="10"/>
        <v>0</v>
      </c>
      <c r="N85" s="200">
        <f t="shared" si="11"/>
        <v>0</v>
      </c>
      <c r="O85" s="200">
        <f t="shared" si="12"/>
        <v>0</v>
      </c>
      <c r="P85" s="217">
        <f t="shared" si="13"/>
        <v>0</v>
      </c>
    </row>
    <row r="86" spans="1:16" x14ac:dyDescent="0.2">
      <c r="A86" s="274" t="str">
        <f>IF(COUNTBLANK(B86)=1," ",COUNTA(B$15:B86))</f>
        <v xml:space="preserve"> </v>
      </c>
      <c r="B86" s="198"/>
      <c r="C86" s="199" t="s">
        <v>152</v>
      </c>
      <c r="D86" s="128" t="s">
        <v>83</v>
      </c>
      <c r="E86" s="195">
        <v>50</v>
      </c>
      <c r="F86" s="196"/>
      <c r="G86" s="197"/>
      <c r="H86" s="200">
        <f t="shared" si="7"/>
        <v>0</v>
      </c>
      <c r="I86" s="197"/>
      <c r="J86" s="197"/>
      <c r="K86" s="218">
        <f t="shared" si="8"/>
        <v>0</v>
      </c>
      <c r="L86" s="201">
        <f t="shared" si="9"/>
        <v>0</v>
      </c>
      <c r="M86" s="200">
        <f t="shared" si="10"/>
        <v>0</v>
      </c>
      <c r="N86" s="200">
        <f t="shared" si="11"/>
        <v>0</v>
      </c>
      <c r="O86" s="200">
        <f t="shared" si="12"/>
        <v>0</v>
      </c>
      <c r="P86" s="217">
        <f t="shared" si="13"/>
        <v>0</v>
      </c>
    </row>
    <row r="87" spans="1:16" x14ac:dyDescent="0.2">
      <c r="A87" s="274" t="str">
        <f>IF(COUNTBLANK(B87)=1," ",COUNTA(B$15:B87))</f>
        <v xml:space="preserve"> </v>
      </c>
      <c r="B87" s="198"/>
      <c r="C87" s="199" t="s">
        <v>165</v>
      </c>
      <c r="D87" s="128" t="s">
        <v>83</v>
      </c>
      <c r="E87" s="195">
        <v>6.0000000000000009</v>
      </c>
      <c r="F87" s="196"/>
      <c r="G87" s="197"/>
      <c r="H87" s="200">
        <f t="shared" si="7"/>
        <v>0</v>
      </c>
      <c r="I87" s="197"/>
      <c r="J87" s="197"/>
      <c r="K87" s="218">
        <f t="shared" si="8"/>
        <v>0</v>
      </c>
      <c r="L87" s="201">
        <f t="shared" si="9"/>
        <v>0</v>
      </c>
      <c r="M87" s="200">
        <f t="shared" si="10"/>
        <v>0</v>
      </c>
      <c r="N87" s="200">
        <f t="shared" si="11"/>
        <v>0</v>
      </c>
      <c r="O87" s="200">
        <f t="shared" si="12"/>
        <v>0</v>
      </c>
      <c r="P87" s="217">
        <f t="shared" si="13"/>
        <v>0</v>
      </c>
    </row>
    <row r="88" spans="1:16" ht="22.5" x14ac:dyDescent="0.2">
      <c r="A88" s="274">
        <f>IF(COUNTBLANK(B88)=1," ",COUNTA(B$15:B88))</f>
        <v>42</v>
      </c>
      <c r="B88" s="198" t="s">
        <v>65</v>
      </c>
      <c r="C88" s="199" t="s">
        <v>368</v>
      </c>
      <c r="D88" s="128" t="s">
        <v>372</v>
      </c>
      <c r="E88" s="195">
        <v>1</v>
      </c>
      <c r="F88" s="196"/>
      <c r="G88" s="197"/>
      <c r="H88" s="200">
        <f t="shared" si="7"/>
        <v>0</v>
      </c>
      <c r="I88" s="197"/>
      <c r="J88" s="197"/>
      <c r="K88" s="218">
        <f t="shared" si="8"/>
        <v>0</v>
      </c>
      <c r="L88" s="201">
        <f t="shared" si="9"/>
        <v>0</v>
      </c>
      <c r="M88" s="200">
        <f t="shared" si="10"/>
        <v>0</v>
      </c>
      <c r="N88" s="200">
        <f t="shared" si="11"/>
        <v>0</v>
      </c>
      <c r="O88" s="200">
        <f t="shared" si="12"/>
        <v>0</v>
      </c>
      <c r="P88" s="217">
        <f t="shared" si="13"/>
        <v>0</v>
      </c>
    </row>
    <row r="89" spans="1:16" x14ac:dyDescent="0.2">
      <c r="A89" s="274">
        <f>IF(COUNTBLANK(B89)=1," ",COUNTA(B$15:B89))</f>
        <v>43</v>
      </c>
      <c r="B89" s="198" t="s">
        <v>65</v>
      </c>
      <c r="C89" s="199" t="s">
        <v>284</v>
      </c>
      <c r="D89" s="128" t="s">
        <v>164</v>
      </c>
      <c r="E89" s="195">
        <v>20</v>
      </c>
      <c r="F89" s="196"/>
      <c r="G89" s="197"/>
      <c r="H89" s="200">
        <f t="shared" si="7"/>
        <v>0</v>
      </c>
      <c r="I89" s="197"/>
      <c r="J89" s="197"/>
      <c r="K89" s="218">
        <f t="shared" si="8"/>
        <v>0</v>
      </c>
      <c r="L89" s="201">
        <f t="shared" si="9"/>
        <v>0</v>
      </c>
      <c r="M89" s="200">
        <f t="shared" si="10"/>
        <v>0</v>
      </c>
      <c r="N89" s="200">
        <f t="shared" si="11"/>
        <v>0</v>
      </c>
      <c r="O89" s="200">
        <f t="shared" si="12"/>
        <v>0</v>
      </c>
      <c r="P89" s="217">
        <f t="shared" si="13"/>
        <v>0</v>
      </c>
    </row>
    <row r="90" spans="1:16" x14ac:dyDescent="0.2">
      <c r="A90" s="274" t="str">
        <f>IF(COUNTBLANK(B90)=1," ",COUNTA(B$15:B90))</f>
        <v xml:space="preserve"> </v>
      </c>
      <c r="B90" s="198"/>
      <c r="C90" s="199" t="s">
        <v>163</v>
      </c>
      <c r="D90" s="128" t="s">
        <v>164</v>
      </c>
      <c r="E90" s="195">
        <v>1</v>
      </c>
      <c r="F90" s="196"/>
      <c r="G90" s="197"/>
      <c r="H90" s="200">
        <f t="shared" si="7"/>
        <v>0</v>
      </c>
      <c r="I90" s="197"/>
      <c r="J90" s="197"/>
      <c r="K90" s="218">
        <f t="shared" si="8"/>
        <v>0</v>
      </c>
      <c r="L90" s="201">
        <f t="shared" si="9"/>
        <v>0</v>
      </c>
      <c r="M90" s="200">
        <f t="shared" si="10"/>
        <v>0</v>
      </c>
      <c r="N90" s="200">
        <f t="shared" si="11"/>
        <v>0</v>
      </c>
      <c r="O90" s="200">
        <f t="shared" si="12"/>
        <v>0</v>
      </c>
      <c r="P90" s="217">
        <f t="shared" si="13"/>
        <v>0</v>
      </c>
    </row>
    <row r="91" spans="1:16" x14ac:dyDescent="0.2">
      <c r="A91" s="274" t="str">
        <f>IF(COUNTBLANK(B91)=1," ",COUNTA(B$15:B91))</f>
        <v xml:space="preserve"> </v>
      </c>
      <c r="B91" s="198"/>
      <c r="C91" s="199" t="s">
        <v>195</v>
      </c>
      <c r="D91" s="128" t="s">
        <v>73</v>
      </c>
      <c r="E91" s="195">
        <v>44</v>
      </c>
      <c r="F91" s="196"/>
      <c r="G91" s="197"/>
      <c r="H91" s="200">
        <f t="shared" si="7"/>
        <v>0</v>
      </c>
      <c r="I91" s="197"/>
      <c r="J91" s="197"/>
      <c r="K91" s="218">
        <f t="shared" si="8"/>
        <v>0</v>
      </c>
      <c r="L91" s="201">
        <f t="shared" si="9"/>
        <v>0</v>
      </c>
      <c r="M91" s="200">
        <f t="shared" si="10"/>
        <v>0</v>
      </c>
      <c r="N91" s="200">
        <f t="shared" si="11"/>
        <v>0</v>
      </c>
      <c r="O91" s="200">
        <f t="shared" si="12"/>
        <v>0</v>
      </c>
      <c r="P91" s="217">
        <f t="shared" si="13"/>
        <v>0</v>
      </c>
    </row>
    <row r="92" spans="1:16" ht="22.5" x14ac:dyDescent="0.2">
      <c r="A92" s="274">
        <f>IF(COUNTBLANK(B92)=1," ",COUNTA(B$15:B92))</f>
        <v>44</v>
      </c>
      <c r="B92" s="198" t="s">
        <v>65</v>
      </c>
      <c r="C92" s="199" t="s">
        <v>449</v>
      </c>
      <c r="D92" s="128" t="s">
        <v>67</v>
      </c>
      <c r="E92" s="128">
        <v>101</v>
      </c>
      <c r="F92" s="200"/>
      <c r="G92" s="200"/>
      <c r="H92" s="200"/>
      <c r="I92" s="200"/>
      <c r="J92" s="200"/>
      <c r="K92" s="218"/>
      <c r="L92" s="201">
        <f t="shared" si="9"/>
        <v>0</v>
      </c>
      <c r="M92" s="200"/>
      <c r="N92" s="200">
        <f t="shared" si="11"/>
        <v>0</v>
      </c>
      <c r="O92" s="200">
        <f t="shared" si="12"/>
        <v>0</v>
      </c>
      <c r="P92" s="217"/>
    </row>
    <row r="93" spans="1:16" ht="22.5" x14ac:dyDescent="0.2">
      <c r="A93" s="274">
        <f>IF(COUNTBLANK(B93)=1," ",COUNTA(B$15:B93))</f>
        <v>45</v>
      </c>
      <c r="B93" s="198" t="s">
        <v>65</v>
      </c>
      <c r="C93" s="199" t="s">
        <v>450</v>
      </c>
      <c r="D93" s="128" t="s">
        <v>67</v>
      </c>
      <c r="E93" s="128">
        <v>154</v>
      </c>
      <c r="F93" s="200"/>
      <c r="G93" s="200"/>
      <c r="H93" s="200"/>
      <c r="I93" s="200"/>
      <c r="J93" s="200"/>
      <c r="K93" s="218"/>
      <c r="L93" s="201">
        <f t="shared" si="9"/>
        <v>0</v>
      </c>
      <c r="M93" s="200"/>
      <c r="N93" s="200">
        <f t="shared" si="11"/>
        <v>0</v>
      </c>
      <c r="O93" s="200">
        <f t="shared" si="12"/>
        <v>0</v>
      </c>
      <c r="P93" s="217"/>
    </row>
    <row r="94" spans="1:16" ht="33.75" x14ac:dyDescent="0.2">
      <c r="A94" s="274">
        <f>IF(COUNTBLANK(B94)=1," ",COUNTA(B$15:B94))</f>
        <v>46</v>
      </c>
      <c r="B94" s="198" t="s">
        <v>65</v>
      </c>
      <c r="C94" s="199" t="s">
        <v>451</v>
      </c>
      <c r="D94" s="128" t="s">
        <v>73</v>
      </c>
      <c r="E94" s="128">
        <f>12.5*8*1.5*1.15</f>
        <v>172.5</v>
      </c>
      <c r="F94" s="200"/>
      <c r="G94" s="200"/>
      <c r="H94" s="200"/>
      <c r="I94" s="200"/>
      <c r="J94" s="200"/>
      <c r="K94" s="218"/>
      <c r="L94" s="201"/>
      <c r="M94" s="200"/>
      <c r="N94" s="200"/>
      <c r="O94" s="200"/>
      <c r="P94" s="217"/>
    </row>
    <row r="95" spans="1:16" x14ac:dyDescent="0.2">
      <c r="A95" s="274">
        <f>IF(COUNTBLANK(B95)=1," ",COUNTA(B$15:B95))</f>
        <v>47</v>
      </c>
      <c r="B95" s="198" t="s">
        <v>65</v>
      </c>
      <c r="C95" s="199" t="s">
        <v>452</v>
      </c>
      <c r="D95" s="128" t="s">
        <v>67</v>
      </c>
      <c r="E95" s="128">
        <f>3.36*4</f>
        <v>13.44</v>
      </c>
      <c r="F95" s="200"/>
      <c r="G95" s="200"/>
      <c r="H95" s="200"/>
      <c r="I95" s="200"/>
      <c r="J95" s="200"/>
      <c r="K95" s="218"/>
      <c r="L95" s="201"/>
      <c r="M95" s="200"/>
      <c r="N95" s="200"/>
      <c r="O95" s="200"/>
      <c r="P95" s="217"/>
    </row>
    <row r="96" spans="1:16" x14ac:dyDescent="0.2">
      <c r="A96" s="274" t="str">
        <f>IF(COUNTBLANK(B96)=1," ",COUNTA(B$15:B96))</f>
        <v xml:space="preserve"> </v>
      </c>
      <c r="B96" s="198"/>
      <c r="C96" s="199" t="s">
        <v>453</v>
      </c>
      <c r="D96" s="128" t="s">
        <v>157</v>
      </c>
      <c r="E96" s="128">
        <f>E95*0.15*0.6</f>
        <v>1.2096</v>
      </c>
      <c r="F96" s="200"/>
      <c r="G96" s="200"/>
      <c r="H96" s="200"/>
      <c r="I96" s="200"/>
      <c r="J96" s="200"/>
      <c r="K96" s="218"/>
      <c r="L96" s="201"/>
      <c r="M96" s="200"/>
      <c r="N96" s="200"/>
      <c r="O96" s="200"/>
      <c r="P96" s="217"/>
    </row>
    <row r="97" spans="1:16" x14ac:dyDescent="0.2">
      <c r="A97" s="274" t="str">
        <f>IF(COUNTBLANK(B97)=1," ",COUNTA(B$15:B97))</f>
        <v xml:space="preserve"> </v>
      </c>
      <c r="B97" s="198"/>
      <c r="C97" s="199" t="s">
        <v>454</v>
      </c>
      <c r="D97" s="128" t="s">
        <v>83</v>
      </c>
      <c r="E97" s="128">
        <f>E95/0.4*0.15*0.63</f>
        <v>3.1751999999999994</v>
      </c>
      <c r="F97" s="200"/>
      <c r="G97" s="200"/>
      <c r="H97" s="200"/>
      <c r="I97" s="200"/>
      <c r="J97" s="200"/>
      <c r="K97" s="218"/>
      <c r="L97" s="201"/>
      <c r="M97" s="200"/>
      <c r="N97" s="200"/>
      <c r="O97" s="200"/>
      <c r="P97" s="217"/>
    </row>
    <row r="98" spans="1:16" x14ac:dyDescent="0.2">
      <c r="A98" s="274" t="str">
        <f>IF(COUNTBLANK(B98)=1," ",COUNTA(B$15:B98))</f>
        <v xml:space="preserve"> </v>
      </c>
      <c r="B98" s="198"/>
      <c r="C98" s="199" t="s">
        <v>455</v>
      </c>
      <c r="D98" s="128" t="s">
        <v>126</v>
      </c>
      <c r="E98" s="128">
        <f>E95/0.3</f>
        <v>44.8</v>
      </c>
      <c r="F98" s="200"/>
      <c r="G98" s="200"/>
      <c r="H98" s="200"/>
      <c r="I98" s="200"/>
      <c r="J98" s="200"/>
      <c r="K98" s="218"/>
      <c r="L98" s="201"/>
      <c r="M98" s="200"/>
      <c r="N98" s="200"/>
      <c r="O98" s="200"/>
      <c r="P98" s="217"/>
    </row>
    <row r="99" spans="1:16" x14ac:dyDescent="0.2">
      <c r="A99" s="274" t="str">
        <f>IF(COUNTBLANK(B99)=1," ",COUNTA(B$15:B99))</f>
        <v xml:space="preserve"> </v>
      </c>
      <c r="B99" s="198"/>
      <c r="C99" s="199" t="s">
        <v>456</v>
      </c>
      <c r="D99" s="128" t="s">
        <v>73</v>
      </c>
      <c r="E99" s="128">
        <f>E95*(0.15+0.17)</f>
        <v>4.3007999999999997</v>
      </c>
      <c r="F99" s="200"/>
      <c r="G99" s="200"/>
      <c r="H99" s="200"/>
      <c r="I99" s="200"/>
      <c r="J99" s="200"/>
      <c r="K99" s="218"/>
      <c r="L99" s="201"/>
      <c r="M99" s="200"/>
      <c r="N99" s="200"/>
      <c r="O99" s="200"/>
      <c r="P99" s="217"/>
    </row>
    <row r="100" spans="1:16" x14ac:dyDescent="0.2">
      <c r="A100" s="274" t="str">
        <f>IF(COUNTBLANK(B100)=1," ",COUNTA(B$15:B100))</f>
        <v xml:space="preserve"> </v>
      </c>
      <c r="B100" s="198"/>
      <c r="C100" s="199" t="s">
        <v>457</v>
      </c>
      <c r="D100" s="128" t="s">
        <v>73</v>
      </c>
      <c r="E100" s="128">
        <f>0.5*E95</f>
        <v>6.72</v>
      </c>
      <c r="F100" s="200"/>
      <c r="G100" s="200"/>
      <c r="H100" s="200"/>
      <c r="I100" s="200"/>
      <c r="J100" s="200"/>
      <c r="K100" s="218"/>
      <c r="L100" s="201"/>
      <c r="M100" s="200"/>
      <c r="N100" s="200"/>
      <c r="O100" s="200"/>
      <c r="P100" s="217"/>
    </row>
    <row r="101" spans="1:16" x14ac:dyDescent="0.2">
      <c r="A101" s="274" t="str">
        <f>IF(COUNTBLANK(B101)=1," ",COUNTA(B$15:B101))</f>
        <v xml:space="preserve"> </v>
      </c>
      <c r="B101" s="198"/>
      <c r="C101" s="199" t="s">
        <v>458</v>
      </c>
      <c r="D101" s="128" t="s">
        <v>83</v>
      </c>
      <c r="E101" s="128">
        <f>E95/0.4*0.51</f>
        <v>17.135999999999996</v>
      </c>
      <c r="F101" s="200"/>
      <c r="G101" s="200"/>
      <c r="H101" s="200"/>
      <c r="I101" s="200"/>
      <c r="J101" s="200"/>
      <c r="K101" s="218"/>
      <c r="L101" s="201"/>
      <c r="M101" s="200"/>
      <c r="N101" s="200"/>
      <c r="O101" s="200"/>
      <c r="P101" s="217"/>
    </row>
    <row r="102" spans="1:16" x14ac:dyDescent="0.2">
      <c r="A102" s="274" t="str">
        <f>IF(COUNTBLANK(B102)=1," ",COUNTA(B$15:B102))</f>
        <v xml:space="preserve"> </v>
      </c>
      <c r="B102" s="198"/>
      <c r="C102" s="199" t="s">
        <v>459</v>
      </c>
      <c r="D102" s="128" t="s">
        <v>73</v>
      </c>
      <c r="E102" s="128">
        <f>E95/0.4*0.05*0.05*0.32</f>
        <v>2.6879999999999998E-2</v>
      </c>
      <c r="F102" s="200"/>
      <c r="G102" s="200"/>
      <c r="H102" s="200"/>
      <c r="I102" s="200"/>
      <c r="J102" s="200"/>
      <c r="K102" s="218"/>
      <c r="L102" s="201"/>
      <c r="M102" s="200"/>
      <c r="N102" s="200"/>
      <c r="O102" s="200"/>
      <c r="P102" s="217"/>
    </row>
    <row r="103" spans="1:16" x14ac:dyDescent="0.2">
      <c r="A103" s="274" t="str">
        <f>IF(COUNTBLANK(B103)=1," ",COUNTA(B$15:B103))</f>
        <v xml:space="preserve"> </v>
      </c>
      <c r="B103" s="198"/>
      <c r="C103" s="199" t="s">
        <v>478</v>
      </c>
      <c r="D103" s="128" t="s">
        <v>73</v>
      </c>
      <c r="E103" s="128">
        <f>E95*0.32</f>
        <v>4.3007999999999997</v>
      </c>
      <c r="F103" s="200"/>
      <c r="G103" s="200"/>
      <c r="H103" s="200"/>
      <c r="I103" s="200"/>
      <c r="J103" s="200"/>
      <c r="K103" s="218"/>
      <c r="L103" s="201"/>
      <c r="M103" s="200"/>
      <c r="N103" s="200"/>
      <c r="O103" s="200"/>
      <c r="P103" s="217"/>
    </row>
    <row r="104" spans="1:16" x14ac:dyDescent="0.2">
      <c r="A104" s="274" t="str">
        <f>IF(COUNTBLANK(B104)=1," ",COUNTA(B$15:B104))</f>
        <v xml:space="preserve"> </v>
      </c>
      <c r="B104" s="198"/>
      <c r="C104" s="199" t="s">
        <v>102</v>
      </c>
      <c r="D104" s="128" t="s">
        <v>67</v>
      </c>
      <c r="E104" s="128">
        <f>E95</f>
        <v>13.44</v>
      </c>
      <c r="F104" s="200"/>
      <c r="G104" s="200"/>
      <c r="H104" s="200"/>
      <c r="I104" s="200"/>
      <c r="J104" s="200"/>
      <c r="K104" s="218"/>
      <c r="L104" s="201"/>
      <c r="M104" s="200"/>
      <c r="N104" s="200"/>
      <c r="O104" s="200"/>
      <c r="P104" s="217"/>
    </row>
    <row r="105" spans="1:16" ht="12" thickBot="1" x14ac:dyDescent="0.25">
      <c r="A105" s="274" t="str">
        <f>IF(COUNTBLANK(B105)=1," ",COUNTA(B$15:B105))</f>
        <v xml:space="preserve"> </v>
      </c>
      <c r="B105" s="198"/>
      <c r="C105" s="199" t="s">
        <v>460</v>
      </c>
      <c r="D105" s="128" t="s">
        <v>73</v>
      </c>
      <c r="E105" s="128">
        <f>0.9*E95</f>
        <v>12.096</v>
      </c>
      <c r="F105" s="200"/>
      <c r="G105" s="200"/>
      <c r="H105" s="200"/>
      <c r="I105" s="200"/>
      <c r="J105" s="200"/>
      <c r="K105" s="218"/>
      <c r="L105" s="284"/>
      <c r="M105" s="285"/>
      <c r="N105" s="285"/>
      <c r="O105" s="285"/>
      <c r="P105" s="286"/>
    </row>
    <row r="106" spans="1:16" ht="12" thickBot="1" x14ac:dyDescent="0.25">
      <c r="A106" s="403" t="s">
        <v>514</v>
      </c>
      <c r="B106" s="404"/>
      <c r="C106" s="404"/>
      <c r="D106" s="404"/>
      <c r="E106" s="404"/>
      <c r="F106" s="404"/>
      <c r="G106" s="404"/>
      <c r="H106" s="404"/>
      <c r="I106" s="404"/>
      <c r="J106" s="404"/>
      <c r="K106" s="405"/>
      <c r="L106" s="244">
        <f>SUM(L14:L93)</f>
        <v>0</v>
      </c>
      <c r="M106" s="245">
        <f>SUM(M14:M91)</f>
        <v>0</v>
      </c>
      <c r="N106" s="245">
        <f>SUM(N14:N93)</f>
        <v>0</v>
      </c>
      <c r="O106" s="245">
        <f>SUM(O14:O93)</f>
        <v>0</v>
      </c>
      <c r="P106" s="276">
        <f>SUM(P14:P91)</f>
        <v>0</v>
      </c>
    </row>
    <row r="107" spans="1:16" x14ac:dyDescent="0.2">
      <c r="A107" s="182"/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</row>
    <row r="108" spans="1:16" x14ac:dyDescent="0.2">
      <c r="A108" s="182"/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</row>
    <row r="109" spans="1:16" x14ac:dyDescent="0.2">
      <c r="A109" s="179" t="s">
        <v>14</v>
      </c>
      <c r="B109" s="182"/>
      <c r="C109" s="380">
        <f>'Kops a'!C32:H32</f>
        <v>0</v>
      </c>
      <c r="D109" s="380"/>
      <c r="E109" s="380"/>
      <c r="F109" s="380"/>
      <c r="G109" s="380"/>
      <c r="H109" s="380"/>
      <c r="I109" s="182"/>
      <c r="J109" s="182"/>
      <c r="K109" s="182"/>
      <c r="L109" s="182"/>
      <c r="M109" s="182"/>
      <c r="N109" s="182"/>
      <c r="O109" s="182"/>
      <c r="P109" s="182"/>
    </row>
    <row r="110" spans="1:16" x14ac:dyDescent="0.2">
      <c r="A110" s="182"/>
      <c r="B110" s="182"/>
      <c r="C110" s="381" t="s">
        <v>15</v>
      </c>
      <c r="D110" s="381"/>
      <c r="E110" s="381"/>
      <c r="F110" s="381"/>
      <c r="G110" s="381"/>
      <c r="H110" s="381"/>
      <c r="I110" s="182"/>
      <c r="J110" s="182"/>
      <c r="K110" s="182"/>
      <c r="L110" s="182"/>
      <c r="M110" s="182"/>
      <c r="N110" s="182"/>
      <c r="O110" s="182"/>
      <c r="P110" s="182"/>
    </row>
    <row r="111" spans="1:16" x14ac:dyDescent="0.2">
      <c r="A111" s="182"/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</row>
    <row r="112" spans="1:16" x14ac:dyDescent="0.2">
      <c r="A112" s="208" t="str">
        <f>'Kops a'!A35</f>
        <v>Tāme sastādīta 2021. gada</v>
      </c>
      <c r="B112" s="209"/>
      <c r="C112" s="209"/>
      <c r="D112" s="209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</row>
    <row r="113" spans="1:16" x14ac:dyDescent="0.2">
      <c r="A113" s="182"/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</row>
    <row r="114" spans="1:16" x14ac:dyDescent="0.2">
      <c r="A114" s="179" t="s">
        <v>37</v>
      </c>
      <c r="B114" s="182"/>
      <c r="C114" s="380">
        <f>'Kops a'!C37:H37</f>
        <v>0</v>
      </c>
      <c r="D114" s="380"/>
      <c r="E114" s="380"/>
      <c r="F114" s="380"/>
      <c r="G114" s="380"/>
      <c r="H114" s="380"/>
      <c r="I114" s="182"/>
      <c r="J114" s="182"/>
      <c r="K114" s="182"/>
      <c r="L114" s="182"/>
      <c r="M114" s="182"/>
      <c r="N114" s="182"/>
      <c r="O114" s="182"/>
      <c r="P114" s="182"/>
    </row>
    <row r="115" spans="1:16" x14ac:dyDescent="0.2">
      <c r="A115" s="182"/>
      <c r="B115" s="182"/>
      <c r="C115" s="381" t="s">
        <v>15</v>
      </c>
      <c r="D115" s="381"/>
      <c r="E115" s="381"/>
      <c r="F115" s="381"/>
      <c r="G115" s="381"/>
      <c r="H115" s="381"/>
      <c r="I115" s="182"/>
      <c r="J115" s="182"/>
      <c r="K115" s="182"/>
      <c r="L115" s="182"/>
      <c r="M115" s="182"/>
      <c r="N115" s="182"/>
      <c r="O115" s="182"/>
      <c r="P115" s="182"/>
    </row>
    <row r="116" spans="1:16" x14ac:dyDescent="0.2">
      <c r="A116" s="182"/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</row>
    <row r="117" spans="1:16" x14ac:dyDescent="0.2">
      <c r="A117" s="208" t="s">
        <v>54</v>
      </c>
      <c r="B117" s="209"/>
      <c r="C117" s="210">
        <f>'Kops a'!C40</f>
        <v>0</v>
      </c>
      <c r="D117" s="211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</row>
    <row r="118" spans="1:16" x14ac:dyDescent="0.2">
      <c r="A118" s="182"/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</row>
    <row r="119" spans="1:16" ht="12" x14ac:dyDescent="0.2">
      <c r="A119" s="222" t="s">
        <v>316</v>
      </c>
      <c r="B119" s="223"/>
      <c r="C119" s="222"/>
      <c r="D119" s="222"/>
      <c r="E119" s="224"/>
      <c r="F119" s="225"/>
      <c r="G119" s="224"/>
      <c r="H119" s="226"/>
      <c r="I119" s="226"/>
      <c r="J119" s="227"/>
      <c r="K119" s="228"/>
      <c r="L119" s="228"/>
      <c r="M119" s="228"/>
      <c r="N119" s="228"/>
      <c r="O119" s="228"/>
    </row>
    <row r="120" spans="1:16" ht="12" x14ac:dyDescent="0.2">
      <c r="A120" s="385" t="s">
        <v>317</v>
      </c>
      <c r="B120" s="385"/>
      <c r="C120" s="385"/>
      <c r="D120" s="385"/>
      <c r="E120" s="385"/>
      <c r="F120" s="385"/>
      <c r="G120" s="385"/>
      <c r="H120" s="385"/>
      <c r="I120" s="385"/>
      <c r="J120" s="385"/>
      <c r="K120" s="385"/>
      <c r="L120" s="385"/>
      <c r="M120" s="385"/>
      <c r="N120" s="385"/>
      <c r="O120" s="385"/>
    </row>
    <row r="121" spans="1:16" ht="12" x14ac:dyDescent="0.2">
      <c r="A121" s="385" t="s">
        <v>318</v>
      </c>
      <c r="B121" s="385"/>
      <c r="C121" s="385"/>
      <c r="D121" s="385"/>
      <c r="E121" s="385"/>
      <c r="F121" s="385"/>
      <c r="G121" s="385"/>
      <c r="H121" s="385"/>
      <c r="I121" s="385"/>
      <c r="J121" s="385"/>
      <c r="K121" s="385"/>
      <c r="L121" s="385"/>
      <c r="M121" s="385"/>
      <c r="N121" s="385"/>
      <c r="O121" s="385"/>
    </row>
  </sheetData>
  <mergeCells count="24">
    <mergeCell ref="C115:H115"/>
    <mergeCell ref="D8:L8"/>
    <mergeCell ref="A106:K106"/>
    <mergeCell ref="A121:O121"/>
    <mergeCell ref="N9:O9"/>
    <mergeCell ref="A12:A13"/>
    <mergeCell ref="B12:B13"/>
    <mergeCell ref="C12:C13"/>
    <mergeCell ref="D12:D13"/>
    <mergeCell ref="E12:E13"/>
    <mergeCell ref="L12:P12"/>
    <mergeCell ref="C109:H109"/>
    <mergeCell ref="C110:H110"/>
    <mergeCell ref="A120:O120"/>
    <mergeCell ref="F12:K12"/>
    <mergeCell ref="A9:F9"/>
    <mergeCell ref="J9:M9"/>
    <mergeCell ref="C114:H114"/>
    <mergeCell ref="C2:I2"/>
    <mergeCell ref="C3:I3"/>
    <mergeCell ref="D5:L5"/>
    <mergeCell ref="D6:L6"/>
    <mergeCell ref="D7:L7"/>
    <mergeCell ref="C4:I4"/>
  </mergeCells>
  <conditionalFormatting sqref="I15:J105 A15:G105">
    <cfRule type="cellIs" dxfId="39" priority="27" operator="equal">
      <formula>0</formula>
    </cfRule>
  </conditionalFormatting>
  <conditionalFormatting sqref="N9:O9 H14:H105 K14:P105">
    <cfRule type="cellIs" dxfId="38" priority="26" operator="equal">
      <formula>0</formula>
    </cfRule>
  </conditionalFormatting>
  <conditionalFormatting sqref="A9:F9">
    <cfRule type="containsText" dxfId="3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6" priority="23" operator="equal">
      <formula>0</formula>
    </cfRule>
  </conditionalFormatting>
  <conditionalFormatting sqref="O10">
    <cfRule type="cellIs" dxfId="35" priority="22" operator="equal">
      <formula>"20__. gada __. _________"</formula>
    </cfRule>
  </conditionalFormatting>
  <conditionalFormatting sqref="A106:K106">
    <cfRule type="containsText" dxfId="34" priority="21" operator="containsText" text="Tiešās izmaksas kopā, t. sk. darba devēja sociālais nodoklis __.__% ">
      <formula>NOT(ISERROR(SEARCH("Tiešās izmaksas kopā, t. sk. darba devēja sociālais nodoklis __.__% ",A106)))</formula>
    </cfRule>
  </conditionalFormatting>
  <conditionalFormatting sqref="L106:P106">
    <cfRule type="cellIs" dxfId="33" priority="16" operator="equal">
      <formula>0</formula>
    </cfRule>
  </conditionalFormatting>
  <conditionalFormatting sqref="C4:I4">
    <cfRule type="cellIs" dxfId="32" priority="15" operator="equal">
      <formula>0</formula>
    </cfRule>
  </conditionalFormatting>
  <conditionalFormatting sqref="D5:L8">
    <cfRule type="cellIs" dxfId="31" priority="11" operator="equal">
      <formula>0</formula>
    </cfRule>
  </conditionalFormatting>
  <conditionalFormatting sqref="A14:B14 D14:G14">
    <cfRule type="cellIs" dxfId="30" priority="10" operator="equal">
      <formula>0</formula>
    </cfRule>
  </conditionalFormatting>
  <conditionalFormatting sqref="C14">
    <cfRule type="cellIs" dxfId="29" priority="9" operator="equal">
      <formula>0</formula>
    </cfRule>
  </conditionalFormatting>
  <conditionalFormatting sqref="I14:J14">
    <cfRule type="cellIs" dxfId="28" priority="8" operator="equal">
      <formula>0</formula>
    </cfRule>
  </conditionalFormatting>
  <conditionalFormatting sqref="P10">
    <cfRule type="cellIs" dxfId="27" priority="7" operator="equal">
      <formula>"20__. gada __. _________"</formula>
    </cfRule>
  </conditionalFormatting>
  <conditionalFormatting sqref="C114:H114">
    <cfRule type="cellIs" dxfId="26" priority="4" operator="equal">
      <formula>0</formula>
    </cfRule>
  </conditionalFormatting>
  <conditionalFormatting sqref="C109:H109">
    <cfRule type="cellIs" dxfId="25" priority="3" operator="equal">
      <formula>0</formula>
    </cfRule>
  </conditionalFormatting>
  <conditionalFormatting sqref="C114:H114 C117 C109:H109">
    <cfRule type="cellIs" dxfId="24" priority="2" operator="equal">
      <formula>0</formula>
    </cfRule>
  </conditionalFormatting>
  <conditionalFormatting sqref="D1">
    <cfRule type="cellIs" dxfId="2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rowBreaks count="1" manualBreakCount="1">
    <brk id="30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______________",A112)))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A112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_________________________________",A117)))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11</vt:i4>
      </vt:variant>
      <vt:variant>
        <vt:lpstr>Diapazoni ar nosaukumiem</vt:lpstr>
      </vt:variant>
      <vt:variant>
        <vt:i4>8</vt:i4>
      </vt:variant>
    </vt:vector>
  </HeadingPairs>
  <TitlesOfParts>
    <vt:vector size="19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apjomi</vt:lpstr>
      <vt:lpstr>'1a'!Drukāt_virsrakstus</vt:lpstr>
      <vt:lpstr>'2a'!Drukāt_virsrakstus</vt:lpstr>
      <vt:lpstr>'3a'!Drukāt_virsrakstus</vt:lpstr>
      <vt:lpstr>'4a'!Drukāt_virsrakstus</vt:lpstr>
      <vt:lpstr>'5a'!Drukāt_virsrakstus</vt:lpstr>
      <vt:lpstr>'6a'!Drukāt_virsrakstus</vt:lpstr>
      <vt:lpstr>'7a'!Drukāt_virsrakstus</vt:lpstr>
      <vt:lpstr>'8a'!Drukāt_virsrakstus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Kārlis Beihmanis</dc:creator>
  <cp:lastModifiedBy>Prezenta</cp:lastModifiedBy>
  <cp:lastPrinted>2020-06-15T06:58:30Z</cp:lastPrinted>
  <dcterms:created xsi:type="dcterms:W3CDTF">2019-03-11T11:42:22Z</dcterms:created>
  <dcterms:modified xsi:type="dcterms:W3CDTF">2021-04-01T06:19:23Z</dcterms:modified>
</cp:coreProperties>
</file>